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ropbox\Budget\"/>
    </mc:Choice>
  </mc:AlternateContent>
  <bookViews>
    <workbookView xWindow="15300" yWindow="45" windowWidth="11880" windowHeight="9810" tabRatio="596"/>
  </bookViews>
  <sheets>
    <sheet name="addenda or use of contingencies" sheetId="1" r:id="rId1"/>
    <sheet name="Justification" sheetId="2" r:id="rId2"/>
  </sheets>
  <externalReferences>
    <externalReference r:id="rId3"/>
  </externalReferences>
  <definedNames>
    <definedName name="total_cost">'[1]Worksheet 1 Project budget'!$E$56</definedName>
    <definedName name="total_cost_y1">'[1]Worksheet 1 Project budget'!$I$56</definedName>
    <definedName name="_xlnm.Print_Area" localSheetId="0">'addenda or use of contingencies'!$A$1:$Q$251</definedName>
  </definedNames>
  <calcPr calcId="152511"/>
</workbook>
</file>

<file path=xl/calcChain.xml><?xml version="1.0" encoding="utf-8"?>
<calcChain xmlns="http://schemas.openxmlformats.org/spreadsheetml/2006/main">
  <c r="O207" i="1" l="1"/>
  <c r="K207" i="1" s="1"/>
  <c r="I207" i="1" s="1"/>
  <c r="P15" i="1" l="1"/>
  <c r="P16" i="1"/>
  <c r="P17" i="1"/>
  <c r="P20" i="1"/>
  <c r="P30" i="1"/>
  <c r="P31" i="1"/>
  <c r="P40" i="1"/>
  <c r="P41" i="1"/>
  <c r="P43" i="1"/>
  <c r="P44" i="1"/>
  <c r="P46" i="1"/>
  <c r="P47" i="1"/>
  <c r="P53" i="1"/>
  <c r="P56" i="1"/>
  <c r="P59" i="1"/>
  <c r="P82" i="1"/>
  <c r="P86" i="1"/>
  <c r="P97" i="1"/>
  <c r="P125" i="1"/>
  <c r="P152" i="1"/>
  <c r="P179" i="1"/>
  <c r="P193" i="1"/>
  <c r="P219" i="1"/>
  <c r="P225" i="1"/>
  <c r="O219" i="1"/>
  <c r="K219" i="1" s="1"/>
  <c r="I219" i="1" s="1"/>
  <c r="O22" i="1"/>
  <c r="K22" i="1" s="1"/>
  <c r="I22" i="1" s="1"/>
  <c r="P244" i="1" l="1"/>
  <c r="P245" i="1"/>
  <c r="P60" i="1"/>
  <c r="I141" i="1"/>
  <c r="O32" i="1"/>
  <c r="K32" i="1"/>
  <c r="O30" i="1"/>
  <c r="K30" i="1" s="1"/>
  <c r="O15" i="1"/>
  <c r="K15" i="1" s="1"/>
  <c r="K243" i="1"/>
  <c r="O211" i="1" l="1"/>
  <c r="K211" i="1"/>
  <c r="I142" i="1" l="1"/>
  <c r="K155" i="1"/>
  <c r="K154" i="1"/>
  <c r="K128" i="1"/>
  <c r="K127" i="1"/>
  <c r="K101" i="1" l="1"/>
  <c r="K100" i="1"/>
  <c r="K142" i="1"/>
  <c r="K141" i="1"/>
  <c r="K136" i="1"/>
  <c r="K223" i="1" l="1"/>
  <c r="K224" i="1"/>
  <c r="K217" i="1"/>
  <c r="K218" i="1"/>
  <c r="K214" i="1"/>
  <c r="K215" i="1"/>
  <c r="K212" i="1"/>
  <c r="K213" i="1"/>
  <c r="E228" i="1" l="1"/>
  <c r="O80" i="1"/>
  <c r="K80" i="1" s="1"/>
  <c r="I80" i="1" s="1"/>
  <c r="K77" i="1"/>
  <c r="K76" i="1"/>
  <c r="K75" i="1"/>
  <c r="K70" i="1"/>
  <c r="K52" i="1"/>
  <c r="F246" i="1"/>
  <c r="I243" i="1"/>
  <c r="K242" i="1"/>
  <c r="I242" i="1" s="1"/>
  <c r="O110" i="1"/>
  <c r="K110" i="1" s="1"/>
  <c r="K103" i="1"/>
  <c r="I110" i="1" l="1"/>
  <c r="I103" i="1"/>
  <c r="O19" i="1" l="1"/>
  <c r="K19" i="1" s="1"/>
  <c r="O243" i="1"/>
  <c r="O242" i="1"/>
  <c r="O240" i="1"/>
  <c r="O239" i="1"/>
  <c r="O237" i="1"/>
  <c r="O236" i="1"/>
  <c r="O231" i="1"/>
  <c r="K231" i="1" s="1"/>
  <c r="I231" i="1" s="1"/>
  <c r="O230" i="1"/>
  <c r="K230" i="1" s="1"/>
  <c r="I230" i="1" s="1"/>
  <c r="O229" i="1"/>
  <c r="K229" i="1" s="1"/>
  <c r="O226" i="1"/>
  <c r="K226" i="1" s="1"/>
  <c r="I226" i="1" s="1"/>
  <c r="O227" i="1"/>
  <c r="K227" i="1" s="1"/>
  <c r="I227" i="1" s="1"/>
  <c r="O223" i="1"/>
  <c r="O224" i="1"/>
  <c r="O220" i="1"/>
  <c r="K220" i="1" s="1"/>
  <c r="I220" i="1" s="1"/>
  <c r="O221" i="1"/>
  <c r="K221" i="1" s="1"/>
  <c r="I221" i="1" s="1"/>
  <c r="O217" i="1"/>
  <c r="O218" i="1"/>
  <c r="O214" i="1"/>
  <c r="O215" i="1"/>
  <c r="O212" i="1"/>
  <c r="O213" i="1"/>
  <c r="O208" i="1"/>
  <c r="K208" i="1" s="1"/>
  <c r="O205" i="1"/>
  <c r="K205" i="1" s="1"/>
  <c r="O203" i="1"/>
  <c r="O202" i="1"/>
  <c r="O201" i="1"/>
  <c r="O200" i="1"/>
  <c r="O198" i="1"/>
  <c r="O197" i="1"/>
  <c r="O196" i="1"/>
  <c r="O192" i="1"/>
  <c r="K192" i="1" s="1"/>
  <c r="O191" i="1"/>
  <c r="K191" i="1" s="1"/>
  <c r="O190" i="1"/>
  <c r="K190" i="1" s="1"/>
  <c r="O189" i="1"/>
  <c r="K189" i="1" s="1"/>
  <c r="O188" i="1"/>
  <c r="K188" i="1" s="1"/>
  <c r="O186" i="1"/>
  <c r="K186" i="1" s="1"/>
  <c r="O185" i="1"/>
  <c r="K185" i="1" s="1"/>
  <c r="O183" i="1"/>
  <c r="K183" i="1" s="1"/>
  <c r="O182" i="1"/>
  <c r="K182" i="1" s="1"/>
  <c r="O178" i="1"/>
  <c r="K178" i="1" s="1"/>
  <c r="O175" i="1"/>
  <c r="K175" i="1" s="1"/>
  <c r="O174" i="1"/>
  <c r="K174" i="1" s="1"/>
  <c r="O172" i="1"/>
  <c r="K172" i="1" s="1"/>
  <c r="M170" i="1"/>
  <c r="O170" i="1" s="1"/>
  <c r="O169" i="1"/>
  <c r="K169" i="1" s="1"/>
  <c r="O168" i="1"/>
  <c r="K168" i="1" s="1"/>
  <c r="O167" i="1"/>
  <c r="K167" i="1" s="1"/>
  <c r="O166" i="1"/>
  <c r="K166" i="1" s="1"/>
  <c r="O165" i="1"/>
  <c r="K165" i="1" s="1"/>
  <c r="O164" i="1"/>
  <c r="K164" i="1" s="1"/>
  <c r="O163" i="1"/>
  <c r="K163" i="1" s="1"/>
  <c r="O161" i="1"/>
  <c r="K161" i="1" s="1"/>
  <c r="O160" i="1"/>
  <c r="K160" i="1" s="1"/>
  <c r="O158" i="1"/>
  <c r="K158" i="1" s="1"/>
  <c r="O157" i="1"/>
  <c r="K157" i="1" s="1"/>
  <c r="O155" i="1"/>
  <c r="O154" i="1"/>
  <c r="O151" i="1"/>
  <c r="K151" i="1" s="1"/>
  <c r="O148" i="1"/>
  <c r="K148" i="1" s="1"/>
  <c r="O147" i="1"/>
  <c r="K147" i="1" s="1"/>
  <c r="O145" i="1"/>
  <c r="K145" i="1" s="1"/>
  <c r="M143" i="1"/>
  <c r="O143" i="1" s="1"/>
  <c r="O142" i="1"/>
  <c r="O141" i="1"/>
  <c r="O140" i="1"/>
  <c r="K140" i="1" s="1"/>
  <c r="O139" i="1"/>
  <c r="K139" i="1" s="1"/>
  <c r="O138" i="1"/>
  <c r="K138" i="1" s="1"/>
  <c r="O137" i="1"/>
  <c r="K137" i="1" s="1"/>
  <c r="O136" i="1"/>
  <c r="O134" i="1"/>
  <c r="K134" i="1" s="1"/>
  <c r="O133" i="1"/>
  <c r="K133" i="1" s="1"/>
  <c r="O131" i="1"/>
  <c r="K131" i="1" s="1"/>
  <c r="O130" i="1"/>
  <c r="K130" i="1" s="1"/>
  <c r="O128" i="1"/>
  <c r="O127" i="1"/>
  <c r="O124" i="1"/>
  <c r="K124" i="1" s="1"/>
  <c r="O121" i="1"/>
  <c r="K121" i="1" s="1"/>
  <c r="O120" i="1"/>
  <c r="K120" i="1" s="1"/>
  <c r="O118" i="1"/>
  <c r="K118" i="1" s="1"/>
  <c r="M116" i="1"/>
  <c r="O116" i="1" s="1"/>
  <c r="O115" i="1"/>
  <c r="K115" i="1" s="1"/>
  <c r="O114" i="1"/>
  <c r="K114" i="1" s="1"/>
  <c r="O113" i="1"/>
  <c r="K113" i="1" s="1"/>
  <c r="O112" i="1"/>
  <c r="K112" i="1" s="1"/>
  <c r="O111" i="1"/>
  <c r="K111" i="1" s="1"/>
  <c r="O109" i="1"/>
  <c r="O107" i="1"/>
  <c r="K107" i="1" s="1"/>
  <c r="O106" i="1"/>
  <c r="O104" i="1"/>
  <c r="K104" i="1" s="1"/>
  <c r="O103" i="1"/>
  <c r="O101" i="1"/>
  <c r="O100" i="1"/>
  <c r="O96" i="1"/>
  <c r="K96" i="1" s="1"/>
  <c r="O95" i="1"/>
  <c r="O94" i="1"/>
  <c r="O92" i="1"/>
  <c r="O91" i="1"/>
  <c r="O89" i="1"/>
  <c r="K89" i="1" s="1"/>
  <c r="O88" i="1"/>
  <c r="K88" i="1" s="1"/>
  <c r="O85" i="1"/>
  <c r="O84" i="1"/>
  <c r="O81" i="1"/>
  <c r="K81" i="1" s="1"/>
  <c r="O79" i="1"/>
  <c r="K79" i="1" s="1"/>
  <c r="O77" i="1"/>
  <c r="O76" i="1"/>
  <c r="O75" i="1"/>
  <c r="O72" i="1"/>
  <c r="O71" i="1"/>
  <c r="O70" i="1"/>
  <c r="O68" i="1"/>
  <c r="O67" i="1"/>
  <c r="K67" i="1" s="1"/>
  <c r="I67" i="1" s="1"/>
  <c r="O66" i="1"/>
  <c r="O65" i="1"/>
  <c r="O59" i="1"/>
  <c r="K59" i="1" s="1"/>
  <c r="I59" i="1" s="1"/>
  <c r="O58" i="1"/>
  <c r="O56" i="1"/>
  <c r="K56" i="1" s="1"/>
  <c r="I56" i="1" s="1"/>
  <c r="O55" i="1"/>
  <c r="O53" i="1"/>
  <c r="O52" i="1"/>
  <c r="O47" i="1"/>
  <c r="K47" i="1" s="1"/>
  <c r="I47" i="1" s="1"/>
  <c r="O46" i="1"/>
  <c r="K46" i="1" s="1"/>
  <c r="I46" i="1" s="1"/>
  <c r="O44" i="1"/>
  <c r="K44" i="1" s="1"/>
  <c r="I44" i="1" s="1"/>
  <c r="O43" i="1"/>
  <c r="K43" i="1" s="1"/>
  <c r="I43" i="1" s="1"/>
  <c r="O41" i="1"/>
  <c r="K41" i="1" s="1"/>
  <c r="O40" i="1"/>
  <c r="K40" i="1" s="1"/>
  <c r="O33" i="1"/>
  <c r="O31" i="1"/>
  <c r="O28" i="1"/>
  <c r="K28" i="1" s="1"/>
  <c r="O27" i="1"/>
  <c r="K27" i="1" s="1"/>
  <c r="O26" i="1"/>
  <c r="K26" i="1" s="1"/>
  <c r="O25" i="1"/>
  <c r="K25" i="1" s="1"/>
  <c r="O23" i="1"/>
  <c r="O21" i="1"/>
  <c r="K21" i="1" s="1"/>
  <c r="I21" i="1" s="1"/>
  <c r="O20" i="1"/>
  <c r="K20" i="1" s="1"/>
  <c r="I20" i="1" s="1"/>
  <c r="O17" i="1"/>
  <c r="K116" i="1" l="1"/>
  <c r="K123" i="1" s="1"/>
  <c r="I123" i="1" s="1"/>
  <c r="O123" i="1"/>
  <c r="K143" i="1"/>
  <c r="K150" i="1" s="1"/>
  <c r="O150" i="1"/>
  <c r="O152" i="1" s="1"/>
  <c r="K170" i="1"/>
  <c r="K177" i="1" s="1"/>
  <c r="O177" i="1"/>
  <c r="K23" i="1"/>
  <c r="K17" i="1"/>
  <c r="I17" i="1" s="1"/>
  <c r="K31" i="1"/>
  <c r="I31" i="1" s="1"/>
  <c r="O225" i="1"/>
  <c r="O244" i="1" s="1"/>
  <c r="I25" i="1"/>
  <c r="I40" i="1"/>
  <c r="I96" i="1"/>
  <c r="I104" i="1"/>
  <c r="I115" i="1"/>
  <c r="I121" i="1"/>
  <c r="I134" i="1"/>
  <c r="I139" i="1"/>
  <c r="I157" i="1"/>
  <c r="I163" i="1"/>
  <c r="I167" i="1"/>
  <c r="I172" i="1"/>
  <c r="I186" i="1"/>
  <c r="I191" i="1"/>
  <c r="I41" i="1"/>
  <c r="I112" i="1"/>
  <c r="I130" i="1"/>
  <c r="I151" i="1"/>
  <c r="I158" i="1"/>
  <c r="I164" i="1"/>
  <c r="I168" i="1"/>
  <c r="I174" i="1"/>
  <c r="I182" i="1"/>
  <c r="I188" i="1"/>
  <c r="I192" i="1"/>
  <c r="I205" i="1"/>
  <c r="I30" i="1"/>
  <c r="I79" i="1"/>
  <c r="I107" i="1"/>
  <c r="I113" i="1"/>
  <c r="I118" i="1"/>
  <c r="I124" i="1"/>
  <c r="I131" i="1"/>
  <c r="I147" i="1"/>
  <c r="I160" i="1"/>
  <c r="I165" i="1"/>
  <c r="I169" i="1"/>
  <c r="I175" i="1"/>
  <c r="I183" i="1"/>
  <c r="I189" i="1"/>
  <c r="I23" i="1"/>
  <c r="I28" i="1"/>
  <c r="I89" i="1"/>
  <c r="I114" i="1"/>
  <c r="I120" i="1"/>
  <c r="I133" i="1"/>
  <c r="I148" i="1"/>
  <c r="I161" i="1"/>
  <c r="I166" i="1"/>
  <c r="I185" i="1"/>
  <c r="I190" i="1"/>
  <c r="I208" i="1"/>
  <c r="I111" i="1"/>
  <c r="I170" i="1"/>
  <c r="I143" i="1"/>
  <c r="I116" i="1"/>
  <c r="F228" i="1"/>
  <c r="G228" i="1" s="1"/>
  <c r="K85" i="1"/>
  <c r="O82" i="1"/>
  <c r="I81" i="1"/>
  <c r="K53" i="1"/>
  <c r="K68" i="1"/>
  <c r="I68" i="1" s="1"/>
  <c r="K65" i="1"/>
  <c r="K66" i="1"/>
  <c r="I66" i="1" s="1"/>
  <c r="I140" i="1"/>
  <c r="I145" i="1"/>
  <c r="I88" i="1"/>
  <c r="I137" i="1"/>
  <c r="I138" i="1"/>
  <c r="I229" i="1"/>
  <c r="I178" i="1"/>
  <c r="I27" i="1"/>
  <c r="I26" i="1"/>
  <c r="O86" i="1"/>
  <c r="O179" i="1"/>
  <c r="O97" i="1"/>
  <c r="O193" i="1"/>
  <c r="O125" i="1"/>
  <c r="O16" i="1"/>
  <c r="K16" i="1" s="1"/>
  <c r="I16" i="1" s="1"/>
  <c r="K225" i="1" l="1"/>
  <c r="I225" i="1" s="1"/>
  <c r="I19" i="1"/>
  <c r="I53" i="1"/>
  <c r="I177" i="1"/>
  <c r="J176" i="1" s="1"/>
  <c r="I85" i="1"/>
  <c r="I150" i="1"/>
  <c r="I65" i="1"/>
  <c r="I15" i="1"/>
  <c r="O60" i="1"/>
  <c r="O245" i="1" l="1"/>
  <c r="E170" i="1"/>
  <c r="F170" i="1" s="1"/>
  <c r="G170" i="1" s="1"/>
  <c r="E143" i="1"/>
  <c r="F143" i="1" s="1"/>
  <c r="G143" i="1" s="1"/>
  <c r="E116" i="1"/>
  <c r="F116" i="1" s="1"/>
  <c r="G116" i="1" s="1"/>
  <c r="E234" i="1"/>
  <c r="E233" i="1"/>
  <c r="E209" i="1"/>
  <c r="F209" i="1" s="1"/>
  <c r="E208" i="1"/>
  <c r="F208" i="1" s="1"/>
  <c r="E207" i="1"/>
  <c r="F207" i="1" s="1"/>
  <c r="E205" i="1"/>
  <c r="F205" i="1" s="1"/>
  <c r="E203" i="1"/>
  <c r="E199" i="1"/>
  <c r="E195" i="1"/>
  <c r="E192" i="1"/>
  <c r="F192" i="1" s="1"/>
  <c r="E191" i="1"/>
  <c r="F191" i="1" s="1"/>
  <c r="E190" i="1"/>
  <c r="F190" i="1" s="1"/>
  <c r="E189" i="1"/>
  <c r="F189" i="1" s="1"/>
  <c r="E188" i="1"/>
  <c r="F188" i="1" s="1"/>
  <c r="E186" i="1"/>
  <c r="F186" i="1" s="1"/>
  <c r="E185" i="1"/>
  <c r="F185" i="1" s="1"/>
  <c r="E183" i="1"/>
  <c r="F183" i="1" s="1"/>
  <c r="E182" i="1"/>
  <c r="F182" i="1" s="1"/>
  <c r="E178" i="1"/>
  <c r="F178" i="1" s="1"/>
  <c r="E177" i="1"/>
  <c r="F177" i="1" s="1"/>
  <c r="E175" i="1"/>
  <c r="F175" i="1" s="1"/>
  <c r="E174" i="1"/>
  <c r="F174" i="1" s="1"/>
  <c r="E172" i="1"/>
  <c r="F172" i="1" s="1"/>
  <c r="E169" i="1"/>
  <c r="F169" i="1" s="1"/>
  <c r="E168" i="1"/>
  <c r="F168" i="1" s="1"/>
  <c r="E167" i="1"/>
  <c r="F167" i="1" s="1"/>
  <c r="E166" i="1"/>
  <c r="F166" i="1" s="1"/>
  <c r="E165" i="1"/>
  <c r="F165" i="1" s="1"/>
  <c r="E164" i="1"/>
  <c r="F164" i="1" s="1"/>
  <c r="E163" i="1"/>
  <c r="F163" i="1" s="1"/>
  <c r="E161" i="1"/>
  <c r="F161" i="1" s="1"/>
  <c r="E160" i="1"/>
  <c r="F160" i="1" s="1"/>
  <c r="E158" i="1"/>
  <c r="F158" i="1" s="1"/>
  <c r="E157" i="1"/>
  <c r="F157" i="1" s="1"/>
  <c r="E155" i="1"/>
  <c r="F155" i="1" s="1"/>
  <c r="E154" i="1"/>
  <c r="F154" i="1" s="1"/>
  <c r="E151" i="1"/>
  <c r="F151" i="1" s="1"/>
  <c r="E150" i="1"/>
  <c r="F150" i="1" s="1"/>
  <c r="E148" i="1"/>
  <c r="F148" i="1" s="1"/>
  <c r="E147" i="1"/>
  <c r="F147" i="1" s="1"/>
  <c r="E145" i="1"/>
  <c r="F145" i="1" s="1"/>
  <c r="E142" i="1"/>
  <c r="F142" i="1" s="1"/>
  <c r="E141" i="1"/>
  <c r="F141" i="1" s="1"/>
  <c r="E140" i="1"/>
  <c r="F140" i="1" s="1"/>
  <c r="E139" i="1"/>
  <c r="F139" i="1" s="1"/>
  <c r="E138" i="1"/>
  <c r="F138" i="1" s="1"/>
  <c r="E137" i="1"/>
  <c r="F137" i="1" s="1"/>
  <c r="E136" i="1"/>
  <c r="F136" i="1" s="1"/>
  <c r="E134" i="1"/>
  <c r="F134" i="1" s="1"/>
  <c r="E133" i="1"/>
  <c r="F133" i="1" s="1"/>
  <c r="E131" i="1"/>
  <c r="F131" i="1" s="1"/>
  <c r="E130" i="1"/>
  <c r="F130" i="1" s="1"/>
  <c r="E128" i="1"/>
  <c r="F128" i="1" s="1"/>
  <c r="E127" i="1"/>
  <c r="F127" i="1" s="1"/>
  <c r="E124" i="1"/>
  <c r="F124" i="1" s="1"/>
  <c r="E123" i="1"/>
  <c r="E121" i="1"/>
  <c r="F121" i="1" s="1"/>
  <c r="E120" i="1"/>
  <c r="F120" i="1" s="1"/>
  <c r="E118" i="1"/>
  <c r="F118" i="1" s="1"/>
  <c r="E115" i="1"/>
  <c r="F115" i="1" s="1"/>
  <c r="G115" i="1" s="1"/>
  <c r="E114" i="1"/>
  <c r="F114" i="1" s="1"/>
  <c r="E113" i="1"/>
  <c r="F113" i="1" s="1"/>
  <c r="E112" i="1"/>
  <c r="F112" i="1" s="1"/>
  <c r="E111" i="1"/>
  <c r="F111" i="1" s="1"/>
  <c r="E110" i="1"/>
  <c r="F110" i="1" s="1"/>
  <c r="E109" i="1"/>
  <c r="E107" i="1"/>
  <c r="F107" i="1" s="1"/>
  <c r="E106" i="1"/>
  <c r="E104" i="1"/>
  <c r="F104" i="1" s="1"/>
  <c r="E103" i="1"/>
  <c r="F103" i="1" s="1"/>
  <c r="E101" i="1"/>
  <c r="F101" i="1" s="1"/>
  <c r="E100" i="1"/>
  <c r="E96" i="1"/>
  <c r="F96" i="1" s="1"/>
  <c r="E95" i="1"/>
  <c r="E94" i="1"/>
  <c r="E92" i="1"/>
  <c r="E91" i="1"/>
  <c r="E89" i="1"/>
  <c r="F89" i="1" s="1"/>
  <c r="E88" i="1"/>
  <c r="F88" i="1" s="1"/>
  <c r="E85" i="1"/>
  <c r="F85" i="1" s="1"/>
  <c r="E84" i="1"/>
  <c r="E78" i="1"/>
  <c r="E74" i="1"/>
  <c r="E69" i="1"/>
  <c r="F69" i="1" s="1"/>
  <c r="E64" i="1"/>
  <c r="F64" i="1" s="1"/>
  <c r="E50" i="1"/>
  <c r="F50" i="1" s="1"/>
  <c r="E49" i="1"/>
  <c r="E38" i="1"/>
  <c r="F38" i="1" s="1"/>
  <c r="E37" i="1"/>
  <c r="E29" i="1"/>
  <c r="E28" i="1"/>
  <c r="F28" i="1" s="1"/>
  <c r="E27" i="1"/>
  <c r="F27" i="1" s="1"/>
  <c r="E26" i="1"/>
  <c r="F26" i="1" s="1"/>
  <c r="E25" i="1"/>
  <c r="F25" i="1" s="1"/>
  <c r="E23" i="1"/>
  <c r="F23" i="1" s="1"/>
  <c r="G23" i="1" s="1"/>
  <c r="E22" i="1"/>
  <c r="F22" i="1" s="1"/>
  <c r="E14" i="1"/>
  <c r="F14" i="1" s="1"/>
  <c r="E18" i="1"/>
  <c r="F18" i="1" s="1"/>
  <c r="F37" i="1" l="1"/>
  <c r="G37" i="1" s="1"/>
  <c r="F84" i="1"/>
  <c r="F78" i="1"/>
  <c r="G78" i="1" s="1"/>
  <c r="E125" i="1"/>
  <c r="K240" i="1"/>
  <c r="K239" i="1"/>
  <c r="K237" i="1"/>
  <c r="K236" i="1"/>
  <c r="K203" i="1"/>
  <c r="K202" i="1"/>
  <c r="K201" i="1"/>
  <c r="K200" i="1"/>
  <c r="K198" i="1"/>
  <c r="K197" i="1"/>
  <c r="K109" i="1"/>
  <c r="K106" i="1"/>
  <c r="K95" i="1"/>
  <c r="K94" i="1"/>
  <c r="K92" i="1"/>
  <c r="K91" i="1"/>
  <c r="K84" i="1"/>
  <c r="F74" i="1"/>
  <c r="K72" i="1"/>
  <c r="K71" i="1"/>
  <c r="K58" i="1"/>
  <c r="K55" i="1"/>
  <c r="F49" i="1" s="1"/>
  <c r="K33" i="1"/>
  <c r="F94" i="1" l="1"/>
  <c r="K86" i="1"/>
  <c r="F203" i="1"/>
  <c r="F106" i="1"/>
  <c r="F95" i="1"/>
  <c r="F92" i="1"/>
  <c r="F109" i="1"/>
  <c r="K82" i="1"/>
  <c r="F199" i="1"/>
  <c r="F233" i="1"/>
  <c r="K97" i="1"/>
  <c r="F234" i="1"/>
  <c r="F91" i="1"/>
  <c r="F100" i="1"/>
  <c r="F29" i="1"/>
  <c r="G14" i="1"/>
  <c r="K179" i="1"/>
  <c r="K193" i="1"/>
  <c r="K152" i="1"/>
  <c r="G246" i="1" l="1"/>
  <c r="G234" i="1" l="1"/>
  <c r="G233" i="1"/>
  <c r="G209" i="1"/>
  <c r="G208" i="1"/>
  <c r="G207" i="1"/>
  <c r="G203" i="1"/>
  <c r="G199" i="1"/>
  <c r="G182" i="1"/>
  <c r="G157" i="1"/>
  <c r="G158" i="1"/>
  <c r="G160" i="1"/>
  <c r="G161" i="1"/>
  <c r="G163" i="1"/>
  <c r="G164" i="1"/>
  <c r="G165" i="1"/>
  <c r="G166" i="1"/>
  <c r="G167" i="1"/>
  <c r="G168" i="1"/>
  <c r="G169" i="1"/>
  <c r="G172" i="1"/>
  <c r="G174" i="1"/>
  <c r="G175" i="1"/>
  <c r="G177" i="1"/>
  <c r="G178" i="1"/>
  <c r="G154" i="1"/>
  <c r="G128" i="1"/>
  <c r="G130" i="1"/>
  <c r="G131" i="1"/>
  <c r="G133" i="1"/>
  <c r="G134" i="1"/>
  <c r="G136" i="1"/>
  <c r="G137" i="1"/>
  <c r="G138" i="1"/>
  <c r="G139" i="1"/>
  <c r="G140" i="1"/>
  <c r="G141" i="1"/>
  <c r="G142" i="1"/>
  <c r="G145" i="1"/>
  <c r="G147" i="1"/>
  <c r="G148" i="1"/>
  <c r="G150" i="1"/>
  <c r="G151" i="1"/>
  <c r="G103" i="1"/>
  <c r="G104" i="1"/>
  <c r="G106" i="1"/>
  <c r="G107" i="1"/>
  <c r="G110" i="1"/>
  <c r="G111" i="1"/>
  <c r="G112" i="1"/>
  <c r="G113" i="1"/>
  <c r="G114" i="1"/>
  <c r="G118" i="1"/>
  <c r="G120" i="1"/>
  <c r="G121" i="1"/>
  <c r="G124" i="1"/>
  <c r="G101" i="1"/>
  <c r="G96" i="1"/>
  <c r="G95" i="1"/>
  <c r="G94" i="1"/>
  <c r="G92" i="1"/>
  <c r="G91" i="1"/>
  <c r="G89" i="1"/>
  <c r="G88" i="1"/>
  <c r="G85" i="1"/>
  <c r="G84" i="1"/>
  <c r="G74" i="1"/>
  <c r="G69" i="1"/>
  <c r="G64" i="1"/>
  <c r="G50" i="1"/>
  <c r="G49" i="1"/>
  <c r="G38" i="1"/>
  <c r="G29" i="1"/>
  <c r="G26" i="1"/>
  <c r="G27" i="1"/>
  <c r="G28" i="1"/>
  <c r="G25" i="1"/>
  <c r="E244" i="1"/>
  <c r="G109" i="1" l="1"/>
  <c r="G205" i="1"/>
  <c r="G127" i="1"/>
  <c r="G155" i="1"/>
  <c r="G100" i="1"/>
  <c r="G185" i="1"/>
  <c r="E193" i="1" l="1"/>
  <c r="F193" i="1" s="1"/>
  <c r="E179" i="1"/>
  <c r="E152" i="1"/>
  <c r="E97" i="1"/>
  <c r="E86" i="1"/>
  <c r="E82" i="1"/>
  <c r="F82" i="1" s="1"/>
  <c r="G82" i="1" s="1"/>
  <c r="F152" i="1" l="1"/>
  <c r="G152" i="1" s="1"/>
  <c r="F86" i="1"/>
  <c r="G86" i="1" s="1"/>
  <c r="F179" i="1"/>
  <c r="G179" i="1" s="1"/>
  <c r="F97" i="1"/>
  <c r="G97" i="1" s="1"/>
  <c r="E60" i="1"/>
  <c r="E245" i="1" l="1"/>
  <c r="E247" i="1" l="1"/>
  <c r="E249" i="1" l="1"/>
  <c r="E251" i="1" l="1"/>
  <c r="K196" i="1" l="1"/>
  <c r="F195" i="1" l="1"/>
  <c r="G195" i="1" s="1"/>
  <c r="K244" i="1"/>
  <c r="F244" i="1" s="1"/>
  <c r="G244" i="1" s="1"/>
  <c r="F123" i="1" l="1"/>
  <c r="G123" i="1" s="1"/>
  <c r="K125" i="1" l="1"/>
  <c r="F125" i="1" s="1"/>
  <c r="G125" i="1" s="1"/>
  <c r="G18" i="1"/>
  <c r="G22" i="1" l="1"/>
  <c r="K60" i="1"/>
  <c r="F60" i="1" s="1"/>
  <c r="G60" i="1" s="1"/>
  <c r="K245" i="1" l="1"/>
  <c r="F245" i="1" l="1"/>
  <c r="G245" i="1" s="1"/>
  <c r="K247" i="1"/>
  <c r="F247" i="1" l="1"/>
  <c r="G247" i="1" s="1"/>
  <c r="K249" i="1"/>
  <c r="F249" i="1" l="1"/>
  <c r="G249" i="1" s="1"/>
  <c r="K251" i="1"/>
  <c r="F251" i="1" l="1"/>
  <c r="G251" i="1" s="1"/>
</calcChain>
</file>

<file path=xl/sharedStrings.xml><?xml version="1.0" encoding="utf-8"?>
<sst xmlns="http://schemas.openxmlformats.org/spreadsheetml/2006/main" count="1262" uniqueCount="452">
  <si>
    <t>Addenda or use of contingencies</t>
  </si>
  <si>
    <t>Budget as per contract/last addendum signed</t>
  </si>
  <si>
    <t>Use of contingencies/ addenda</t>
  </si>
  <si>
    <r>
      <t>Budget as per new addendum signed</t>
    </r>
    <r>
      <rPr>
        <b/>
        <vertAlign val="superscript"/>
        <sz val="12"/>
        <rFont val="Arial"/>
        <family val="2"/>
      </rPr>
      <t xml:space="preserve">
(Only to be completed when an amendment is necessary)</t>
    </r>
  </si>
  <si>
    <t>Expenditures</t>
  </si>
  <si>
    <t>Unit</t>
  </si>
  <si>
    <t># Units</t>
  </si>
  <si>
    <t>Unit rate
(in EUR)</t>
  </si>
  <si>
    <t>Total Cost
(in EUR)</t>
  </si>
  <si>
    <t>(a)</t>
  </si>
  <si>
    <t>(b)</t>
  </si>
  <si>
    <t>(a)*(b)</t>
  </si>
  <si>
    <t>1. Human Resources</t>
  </si>
  <si>
    <t>1.1.1 Technical</t>
  </si>
  <si>
    <t>1.1.1.1 Short term Experts C1/C2/C3 (CN Expert)</t>
  </si>
  <si>
    <t>Per day</t>
  </si>
  <si>
    <t>1.1.2 Support Staff (2 persons)</t>
  </si>
  <si>
    <t xml:space="preserve">Per month </t>
  </si>
  <si>
    <t>1.1.3 Financial/Administrative Assistant</t>
  </si>
  <si>
    <t xml:space="preserve">1.1.4 Interpreter/Translator </t>
  </si>
  <si>
    <t>1.2 Salaries (gross salaries including social security Expat /Intal Staff charges and other related costs, expat/int. staff)</t>
  </si>
  <si>
    <t>1.2.1 Project Manager Component 1 (Resident)</t>
  </si>
  <si>
    <t>1.2.2 Project Manager Component 2 (Resident)</t>
  </si>
  <si>
    <t>1.2.3 Project Manager Component 3 (Resident)</t>
  </si>
  <si>
    <t>1.2.4 Office Manager (Resident)</t>
  </si>
  <si>
    <t>1.2.5 Secretariat Staff (2 persons in EU)</t>
  </si>
  <si>
    <t>1.3.1 Abroad (staff assigned to the Action) EXPAT STAFF IN CHINA</t>
  </si>
  <si>
    <t xml:space="preserve">1.3.1.1 Per diem for  Project Manager C1C2C3 </t>
  </si>
  <si>
    <t>1.3.1.1.1 per Diem in China</t>
  </si>
  <si>
    <t>Per diem</t>
  </si>
  <si>
    <t>1.3.1.1.2 Per Diem in Europe</t>
  </si>
  <si>
    <t>1.3.2 Local (staff assigned to the Action)</t>
  </si>
  <si>
    <t xml:space="preserve">1.3.2.1 Per diem in Europe </t>
  </si>
  <si>
    <t xml:space="preserve">Per diem </t>
  </si>
  <si>
    <t>1.3.2.2 Per diem In China</t>
  </si>
  <si>
    <t>subtotal Human Resources</t>
  </si>
  <si>
    <t>2.1. International travel</t>
  </si>
  <si>
    <t>2.1.1 International Travel for Project staff</t>
  </si>
  <si>
    <t>2.1.1.1  International travel for Resident Experts C1C2C3 and Office Manager</t>
  </si>
  <si>
    <t xml:space="preserve">Per flight </t>
  </si>
  <si>
    <t>2.1.1.2  International Travel for CN experts C1C2C3</t>
  </si>
  <si>
    <t>2.2 Local transportation (travel within CN )</t>
  </si>
  <si>
    <t>2.2.1 Local transportation for local team</t>
  </si>
  <si>
    <t xml:space="preserve">Per travel </t>
  </si>
  <si>
    <t>2.2.2 Local transportation for expat resident team</t>
  </si>
  <si>
    <t xml:space="preserve">subtotal travel </t>
  </si>
  <si>
    <t>3.1 Purchase or rent of vehicles</t>
  </si>
  <si>
    <t>Per month</t>
  </si>
  <si>
    <t>3.2 Furniture, computer equipment</t>
  </si>
  <si>
    <t>Per Working Position</t>
  </si>
  <si>
    <t xml:space="preserve">subtotal equipment and suplies </t>
  </si>
  <si>
    <t>4. Local office</t>
  </si>
  <si>
    <t>4.1 Vehicle costs</t>
  </si>
  <si>
    <t>4.2 Office rent in China</t>
  </si>
  <si>
    <t xml:space="preserve">4.3 Consumables - office supplies </t>
  </si>
  <si>
    <t xml:space="preserve">4.3.1 Stationaries </t>
  </si>
  <si>
    <t xml:space="preserve">4.3.2 Small equipement for local team (laptops, small printer, ect) </t>
  </si>
  <si>
    <t>Per person</t>
  </si>
  <si>
    <t>4.4 Other services  (tel/fax, electricity/heating, maintenance)</t>
  </si>
  <si>
    <t xml:space="preserve">4.4.1 Communications costs </t>
  </si>
  <si>
    <t>4.4.2 Reproduction costs</t>
  </si>
  <si>
    <t>4.4.3 Maintenance and electricity/heating</t>
  </si>
  <si>
    <t>5. ACTIVITIES PER COMPONENT</t>
  </si>
  <si>
    <t>5.1  EU Public Sector staff Component  1 Fees C1</t>
  </si>
  <si>
    <t>LUMP SUM/ FEES per day</t>
  </si>
  <si>
    <t>5.2 Per Diems per Component 1 EU Public Sector Staff C1</t>
  </si>
  <si>
    <t xml:space="preserve">LUMP SUM /per diem </t>
  </si>
  <si>
    <t>5.3 Participation of  Consortium Representatives in EU Component  1</t>
  </si>
  <si>
    <t>LUMP SUM/ FEES</t>
  </si>
  <si>
    <t>5.4 Participation for  Consortium Representatives in China Component 1</t>
  </si>
  <si>
    <t>5.4.1  Flate rate for Consortium Representatives  in China</t>
  </si>
  <si>
    <t>5.4.2  Per Diem for Consortium Representatives  in China</t>
  </si>
  <si>
    <t xml:space="preserve">5.5 Travel </t>
  </si>
  <si>
    <t>5.5.1 International travel for EU MS experts for C1</t>
  </si>
  <si>
    <t>5.5.2 International travel for Consortium representatives  C1</t>
  </si>
  <si>
    <t>5.5.3 Travel /Local transportation for participants to activities in EU (Chinese participants) C1</t>
  </si>
  <si>
    <t>5.5.4 Travel / Local transportation for participants to  activities in EU (EU representatives) C1</t>
  </si>
  <si>
    <t>5.5.5 Travel/ Local Transportation for participants to activities in CHINA ( EU participants) C1</t>
  </si>
  <si>
    <t>5.5.6 Visa Cost  for EU Participants to China</t>
  </si>
  <si>
    <t xml:space="preserve">5.5.7 Insurance cost for EU Public Sector Staff </t>
  </si>
  <si>
    <t>5.6.1 Per Diem for CN participants in EU</t>
  </si>
  <si>
    <t>5.6.2.1 Cost of venue</t>
  </si>
  <si>
    <t>5.7 Translation</t>
  </si>
  <si>
    <t>5.7.1 Translation documents for C1</t>
  </si>
  <si>
    <t>Per page</t>
  </si>
  <si>
    <t xml:space="preserve">Per kit </t>
  </si>
  <si>
    <t>subtotal component 1</t>
  </si>
  <si>
    <t>component 2</t>
  </si>
  <si>
    <t>5.1  EU Public Sector staff Component 2 Fees C2</t>
  </si>
  <si>
    <t>5.2 Per Diems per Component 2 EU Public Sector Staff C2</t>
  </si>
  <si>
    <t>5.3 Participation of  Consortium Representatives in EU Component  2</t>
  </si>
  <si>
    <t>5.4 Participation for  Consortium Representatives in China Component 2</t>
  </si>
  <si>
    <t>5.5.1 International travel for EU MS experts for C2</t>
  </si>
  <si>
    <t>5.5.2 International travel for Consortium representatives  C2</t>
  </si>
  <si>
    <t>5.5.3 Travel /Local transportation for participants to activities in EU (Chinese participants) C2</t>
  </si>
  <si>
    <t>5.5.4 Travel / Local transportation for participants to  activities in EU (EU representatives) C2</t>
  </si>
  <si>
    <t>5.5.5 Travel/ Local Transportation for participants to activities in CHINA ( EU participants) C2</t>
  </si>
  <si>
    <t>5.7.1 Translation documents for C2</t>
  </si>
  <si>
    <t>subtotal component 2</t>
  </si>
  <si>
    <t>Component 3</t>
  </si>
  <si>
    <t>5.1  EU Public Sector staff Component 3 Fees C3</t>
  </si>
  <si>
    <t>5.2 Per Diems per Component 3 EU Public Sector Staff C3</t>
  </si>
  <si>
    <t>5.3 Participation of  Consortium Representatives in EU Component 3</t>
  </si>
  <si>
    <t>5.4 Participation for  Consortium Representatives in China Component 3</t>
  </si>
  <si>
    <t>5.5.1 International travel for EU MS experts for C3</t>
  </si>
  <si>
    <t>5.5.2 International travel for Consortium representatives  C3</t>
  </si>
  <si>
    <t>5.5.3 Travel /Local transportation for participants to activities in EU (Chinese participants) C3</t>
  </si>
  <si>
    <t>5.5.4 Travel / Local transportation for participants to  activities in EU (EU representatives) C3</t>
  </si>
  <si>
    <t>5.5.5 Travel/ Local Transportation for participants to activities in CHINA ( EU participants) C3</t>
  </si>
  <si>
    <t>5.7.1 Translation documents for C3</t>
  </si>
  <si>
    <t>Subtotal Component 3</t>
  </si>
  <si>
    <t>Per study</t>
  </si>
  <si>
    <t>6.3 Expenditure verification</t>
  </si>
  <si>
    <t>Per year</t>
  </si>
  <si>
    <t>6.4 Financial services (bank guarantee costs etc.)</t>
  </si>
  <si>
    <t xml:space="preserve">6.4.1  Costs for bank transfer </t>
  </si>
  <si>
    <t xml:space="preserve">Per  month </t>
  </si>
  <si>
    <t>6.5.1 Projects Brochures and Leaflet</t>
  </si>
  <si>
    <t>Per action</t>
  </si>
  <si>
    <t>6.5.2 Website Management</t>
  </si>
  <si>
    <t>Per  month</t>
  </si>
  <si>
    <t>6.6. Expert Subcontracting</t>
  </si>
  <si>
    <t>Per event</t>
  </si>
  <si>
    <t>6.8  Cost of High Level round table in China and Europe</t>
  </si>
  <si>
    <t>7.  Subtotal direct eligible costs of the Action (1-6)</t>
  </si>
  <si>
    <t>8. Provision for contingency reserve (maximum 5% of  7, subtotal of direct eligible costs of the Action) : réduits à 3% des couts éligibles</t>
  </si>
  <si>
    <t>9. Total direct eligible costs of the Action (7+ 8)</t>
  </si>
  <si>
    <t>10.  Administrative costs (maximum 7% of  9, total direct eligible costs of the Action): réduits à 4,75 % des Couts directs</t>
  </si>
  <si>
    <t xml:space="preserve">11. Total eligible costs (9+10) </t>
  </si>
  <si>
    <r>
      <t>1.1 Salaries (gross salaries including social security charges and other related costs, local staff)</t>
    </r>
    <r>
      <rPr>
        <b/>
        <vertAlign val="superscript"/>
        <sz val="10"/>
        <rFont val="Arial"/>
        <family val="2"/>
      </rPr>
      <t>4</t>
    </r>
  </si>
  <si>
    <r>
      <t>1.3 Per diems for missions/travel</t>
    </r>
    <r>
      <rPr>
        <b/>
        <vertAlign val="superscript"/>
        <sz val="10"/>
        <rFont val="Arial"/>
        <family val="2"/>
      </rPr>
      <t>5</t>
    </r>
  </si>
  <si>
    <r>
      <t>2. Travel</t>
    </r>
    <r>
      <rPr>
        <b/>
        <vertAlign val="superscript"/>
        <sz val="10"/>
        <rFont val="Arial"/>
        <family val="2"/>
      </rPr>
      <t>6</t>
    </r>
  </si>
  <si>
    <r>
      <t>3. Equipment and supplies</t>
    </r>
    <r>
      <rPr>
        <b/>
        <vertAlign val="superscript"/>
        <sz val="10"/>
        <rFont val="Arial"/>
        <family val="2"/>
      </rPr>
      <t>7</t>
    </r>
  </si>
  <si>
    <r>
      <t>5.6 Costs of conferences/seminars</t>
    </r>
    <r>
      <rPr>
        <vertAlign val="superscript"/>
        <sz val="10"/>
        <rFont val="Arial"/>
        <family val="2"/>
      </rPr>
      <t>9</t>
    </r>
  </si>
  <si>
    <r>
      <t>5.8 Training kit</t>
    </r>
    <r>
      <rPr>
        <sz val="10"/>
        <rFont val="Arial"/>
        <family val="2"/>
      </rPr>
      <t xml:space="preserve"> </t>
    </r>
  </si>
  <si>
    <r>
      <t>6. Other costs, services</t>
    </r>
    <r>
      <rPr>
        <b/>
        <vertAlign val="superscript"/>
        <sz val="10"/>
        <rFont val="Arial"/>
        <family val="2"/>
      </rPr>
      <t>8</t>
    </r>
  </si>
  <si>
    <r>
      <t>6.5. Visibility Actions</t>
    </r>
    <r>
      <rPr>
        <vertAlign val="superscript"/>
        <sz val="10"/>
        <rFont val="Arial"/>
        <family val="2"/>
      </rPr>
      <t>10</t>
    </r>
  </si>
  <si>
    <r>
      <t>12. Taxes</t>
    </r>
    <r>
      <rPr>
        <b/>
        <vertAlign val="superscript"/>
        <sz val="10"/>
        <rFont val="Arial"/>
        <family val="2"/>
      </rPr>
      <t>11</t>
    </r>
  </si>
  <si>
    <r>
      <t>13. Total accepted</t>
    </r>
    <r>
      <rPr>
        <b/>
        <vertAlign val="superscript"/>
        <sz val="10"/>
        <rFont val="Arial"/>
        <family val="2"/>
      </rPr>
      <t xml:space="preserve">11 </t>
    </r>
    <r>
      <rPr>
        <b/>
        <sz val="10"/>
        <rFont val="Arial"/>
        <family val="2"/>
      </rPr>
      <t>costs of the Action (11+12)</t>
    </r>
  </si>
  <si>
    <t>Contract No. DCI-ASIE/2014/250-601</t>
  </si>
  <si>
    <t>Implementation period of the contract (17/11/2014-17/11/2018)</t>
  </si>
  <si>
    <t>Component 1</t>
  </si>
  <si>
    <t>Difference</t>
  </si>
  <si>
    <t>%</t>
  </si>
  <si>
    <t xml:space="preserve">1.1.1.1 Short term Experts C1 (CN Expert) </t>
  </si>
  <si>
    <t xml:space="preserve">1.1.1.2 Short term Experts C2 (CN Expert) </t>
  </si>
  <si>
    <t xml:space="preserve">1.1.1.3 Short term Experts C3 (CN Expert) </t>
  </si>
  <si>
    <t>1.1.2.1 Support Staff C1</t>
  </si>
  <si>
    <t>1.1.2.2 Support Staff C2</t>
  </si>
  <si>
    <t>1.1.2.3 Support Staff C3</t>
  </si>
  <si>
    <t>1.2.5.1 Secretariat Staff C1</t>
  </si>
  <si>
    <t>1.2.5.2 Secretariat Staff C2</t>
  </si>
  <si>
    <t>1.2.5.3 Secretariat Staff C3</t>
  </si>
  <si>
    <t>1.2.5.4 Secretariat Staff Horizontal</t>
  </si>
  <si>
    <t>1.3.1.1 Per diem for  Project Manager C1</t>
  </si>
  <si>
    <t>1.3.1.1 Per diem for  Project Manager C2</t>
  </si>
  <si>
    <t>1.3.1.1 Per diem for  Project Manager C3</t>
  </si>
  <si>
    <t>1.3.2 Local (staff assigned to the Action) C1</t>
  </si>
  <si>
    <t>1.3.2 Local (staff assigned to the Action) C2</t>
  </si>
  <si>
    <t>1.3.2 Local (staff assigned to the Action) C3</t>
  </si>
  <si>
    <t>2.1.1.1  International travel for Office Manager</t>
  </si>
  <si>
    <t>2.1.1.2  International Travel for CN experts C1</t>
  </si>
  <si>
    <t>2.1.1.2  International Travel for CN experts C2</t>
  </si>
  <si>
    <t>2.1.1.2  International Travel for CN experts C3</t>
  </si>
  <si>
    <t>2.2.1 Local transportation for local team C1</t>
  </si>
  <si>
    <t>2.2.1 Local transportation for local team C2</t>
  </si>
  <si>
    <t>2.2.1 Local transportation for local team C3</t>
  </si>
  <si>
    <t>2.2.2 Local transportation for expat resident team C1</t>
  </si>
  <si>
    <t>2.2.2 Local transportation for expat resident team C2</t>
  </si>
  <si>
    <t>2.2.2 Local transportation for expat resident team C3</t>
  </si>
  <si>
    <t>5.3 Participation of  Consortium Representatives in EU Horizontal Activities</t>
  </si>
  <si>
    <t>5.3.1 Flate rate for Consortium Representatives Europe</t>
  </si>
  <si>
    <t>5.3.2 Per Diem for Consortium Representatives Europe</t>
  </si>
  <si>
    <t>5.4 Participation for  Consortium Representatives in China Horizontal Activities</t>
  </si>
  <si>
    <t>5.4.1 Flate rate for Consortium Representatives in China</t>
  </si>
  <si>
    <t>5.5.2 International travel for Consortium representatives  Horizontal Activities</t>
  </si>
  <si>
    <t>5.5.4 Travel / Local transportation for participants to  activities in EU (EU representatives) Horizontal Activities</t>
  </si>
  <si>
    <t>5.5.5 Travel/ Local Transportation for participants to activities in CHINA ( EU participants) Horizontal Activities</t>
  </si>
  <si>
    <r>
      <t>6.1 Publications</t>
    </r>
    <r>
      <rPr>
        <vertAlign val="superscript"/>
        <sz val="10"/>
        <rFont val="Arial"/>
        <family val="2"/>
      </rPr>
      <t xml:space="preserve">9  </t>
    </r>
    <r>
      <rPr>
        <b/>
        <sz val="10"/>
        <rFont val="Arial"/>
        <family val="2"/>
      </rPr>
      <t>C1</t>
    </r>
    <r>
      <rPr>
        <vertAlign val="superscript"/>
        <sz val="10"/>
        <rFont val="Arial"/>
        <family val="2"/>
      </rPr>
      <t xml:space="preserve"> </t>
    </r>
  </si>
  <si>
    <r>
      <t>6.1 Publications</t>
    </r>
    <r>
      <rPr>
        <vertAlign val="superscript"/>
        <sz val="10"/>
        <rFont val="Arial"/>
        <family val="2"/>
      </rPr>
      <t xml:space="preserve">9  </t>
    </r>
    <r>
      <rPr>
        <b/>
        <sz val="10"/>
        <rFont val="Arial"/>
        <family val="2"/>
      </rPr>
      <t>C2</t>
    </r>
  </si>
  <si>
    <r>
      <t>6.1 Publications</t>
    </r>
    <r>
      <rPr>
        <vertAlign val="superscript"/>
        <sz val="10"/>
        <rFont val="Arial"/>
        <family val="2"/>
      </rPr>
      <t xml:space="preserve">9  </t>
    </r>
    <r>
      <rPr>
        <b/>
        <sz val="10"/>
        <rFont val="Arial"/>
        <family val="2"/>
      </rPr>
      <t>C3</t>
    </r>
  </si>
  <si>
    <r>
      <t>6.2 Studies, research</t>
    </r>
    <r>
      <rPr>
        <vertAlign val="superscript"/>
        <sz val="10"/>
        <rFont val="Arial"/>
        <family val="2"/>
      </rPr>
      <t xml:space="preserve">9 </t>
    </r>
    <r>
      <rPr>
        <b/>
        <sz val="10"/>
        <rFont val="Arial"/>
        <family val="2"/>
      </rPr>
      <t>C1</t>
    </r>
  </si>
  <si>
    <r>
      <t>6.2 Studies, research</t>
    </r>
    <r>
      <rPr>
        <vertAlign val="superscript"/>
        <sz val="10"/>
        <rFont val="Arial"/>
        <family val="2"/>
      </rPr>
      <t xml:space="preserve">9 </t>
    </r>
    <r>
      <rPr>
        <b/>
        <sz val="10"/>
        <rFont val="Arial"/>
        <family val="2"/>
      </rPr>
      <t>C2</t>
    </r>
  </si>
  <si>
    <r>
      <t>6.2 Studies, research</t>
    </r>
    <r>
      <rPr>
        <vertAlign val="superscript"/>
        <sz val="10"/>
        <rFont val="Arial"/>
        <family val="2"/>
      </rPr>
      <t xml:space="preserve">9 </t>
    </r>
    <r>
      <rPr>
        <b/>
        <sz val="10"/>
        <rFont val="Arial"/>
        <family val="2"/>
      </rPr>
      <t>C3</t>
    </r>
  </si>
  <si>
    <t>6.6.1 Expert Subcontracting C1</t>
  </si>
  <si>
    <t>6.6.1.1 Expert Subcontracting travel/Local transportation for events in EU</t>
  </si>
  <si>
    <t>6.6.3.1 Expert Subcontracting travel/Local transportation for events in EU</t>
  </si>
  <si>
    <t>6.8  Cost of High Level round table in China and Europe C1</t>
  </si>
  <si>
    <t>6.8  Cost of High Level round table in China and Europe C2</t>
  </si>
  <si>
    <t>6.8  Cost of High Level round table in China and Europe C3</t>
  </si>
  <si>
    <t>subtotal Horizontal Activities</t>
  </si>
  <si>
    <t>per travel</t>
  </si>
  <si>
    <t>subtotal Local office</t>
  </si>
  <si>
    <t>subtotal Other costs, services</t>
  </si>
  <si>
    <r>
      <t>6.1 Publications</t>
    </r>
    <r>
      <rPr>
        <i/>
        <vertAlign val="superscript"/>
        <sz val="10"/>
        <rFont val="Arial"/>
        <family val="2"/>
      </rPr>
      <t>9</t>
    </r>
  </si>
  <si>
    <r>
      <t>6.2 Studies, research</t>
    </r>
    <r>
      <rPr>
        <i/>
        <vertAlign val="superscript"/>
        <sz val="10"/>
        <rFont val="Arial"/>
        <family val="2"/>
      </rPr>
      <t>9</t>
    </r>
  </si>
  <si>
    <t>6.8.1 Cost of Venue</t>
  </si>
  <si>
    <t xml:space="preserve">6.8.2 Cost of interpretation </t>
  </si>
  <si>
    <t xml:space="preserve">5.6.2.2 Cost of Interpretation </t>
  </si>
  <si>
    <t>5.4.1 Flate rate for Consortium Representatives Europe</t>
  </si>
  <si>
    <t>Costs</t>
  </si>
  <si>
    <t>All Years</t>
  </si>
  <si>
    <t>Clarification of budget items</t>
  </si>
  <si>
    <t>Justification of estimated costs</t>
  </si>
  <si>
    <t>1.1.2 Support Staff</t>
  </si>
  <si>
    <t>1 full-time Financial/Administrative Assistant</t>
  </si>
  <si>
    <t>1 full-time Project Manager</t>
  </si>
  <si>
    <t xml:space="preserve">Monthly rate including  reallocation, fees, allowances, insurance and visa  </t>
  </si>
  <si>
    <t>1.2.5 Secretariat Staff</t>
  </si>
  <si>
    <t>Monthly rate based on avarge salaries for similar positions</t>
  </si>
  <si>
    <t>General project office needs</t>
  </si>
  <si>
    <t>Laptops and small printers for local team members</t>
  </si>
  <si>
    <t>Subtotal Local office</t>
  </si>
  <si>
    <t xml:space="preserve">5.6.2.2 cost of Interpretation </t>
  </si>
  <si>
    <t>Component 2</t>
  </si>
  <si>
    <t>5.4.2 Per Diem for Consortium Representatives  in China</t>
  </si>
  <si>
    <t>Subtotal Horizontal Activities</t>
  </si>
  <si>
    <t>Rate based on previous project implemented</t>
  </si>
  <si>
    <t>Audit costs as for similar prervious projects</t>
  </si>
  <si>
    <t>6.8.1 cost of Venue</t>
  </si>
  <si>
    <t xml:space="preserve">6.8.2 cost of interpretation </t>
  </si>
  <si>
    <t>Subtotal Other costs, services</t>
  </si>
  <si>
    <t>About 0,22% of the 7. Subtotal direct eligible costs of the Action (1 to 6)</t>
  </si>
  <si>
    <t>Chinese short term expert involved in Component 1</t>
  </si>
  <si>
    <t>Chinese short term expert involved in Component 2</t>
  </si>
  <si>
    <t>Chinese short term expert involved in Component 3</t>
  </si>
  <si>
    <t xml:space="preserve">Rate based on the experience of the first year of project </t>
  </si>
  <si>
    <t>1 part-time assistant of Component 1 Resident Expert</t>
  </si>
  <si>
    <t>1 part-time assistant of Component 3 Resident Expert</t>
  </si>
  <si>
    <t>1 full-time assistant of Component 2 Resident Expert and Team Leader</t>
  </si>
  <si>
    <t>Rate based on the major responsibilities assigned to this assistant after the exclusion of the Office Manager</t>
  </si>
  <si>
    <t>1 part-time interpreter plus 1 more interpreter to be used occasionally when needed (now estimated as 0,5 part time)</t>
  </si>
  <si>
    <t>After the first year of the project, it has been replaced by the  Financial/Administrative Assistant</t>
  </si>
  <si>
    <t>Component 1 Resident Expert missions/travels in Europe</t>
  </si>
  <si>
    <t>Component 1 Resident Expert missions/travels outside Beijing</t>
  </si>
  <si>
    <t>Estimated approximately 1 training per year, 15 nights each
Rate included in the Resident Expert contract provisions</t>
  </si>
  <si>
    <t>Estimated approximately 1 trip per month, 3 nights each
Rate included in the Resident Expert contract provisions</t>
  </si>
  <si>
    <t>Component 2 Resident Expert missions/travels outside Beijing</t>
  </si>
  <si>
    <t>Estimated approximately 1 trip every 2 months, 4 nights each
Rate included in the Resident Expert contract provisions</t>
  </si>
  <si>
    <t>Component 2 Resident Expert missions/travels in Europe</t>
  </si>
  <si>
    <t>Estimated approximately 1 training per year, 10 nights each
Rate included in the Resident Expert contract provisions</t>
  </si>
  <si>
    <t>Component 3 Resident Expert missions/travels outside Beijing</t>
  </si>
  <si>
    <t>Estimated approximately 1 trip every 1,5 months, 3 nights each
Rate included in the Resident Expert contract provisions</t>
  </si>
  <si>
    <t>Component 3 Resident Expert missions/travels in Europe</t>
  </si>
  <si>
    <t>Estimated approximately 1 training per year, 14 nights each
Rate included in the Resident Expert contract provisions</t>
  </si>
  <si>
    <t>Per diem required by the Component 1 Local staff for missions to Europe in order to support the Training Courses activities</t>
  </si>
  <si>
    <t>Per diem required by the Component 1 Local staff for missions outside Beijing</t>
  </si>
  <si>
    <t>Per diem required by the Component 2 Local staff for missions to Europe in order to support the Training Courses activities</t>
  </si>
  <si>
    <t>Per diem required by the Component 2 Local staff for missions outside Beijing</t>
  </si>
  <si>
    <t>Per diem required by the Component 3 Local staff for missions to Europe in order to support the Training Courses activities</t>
  </si>
  <si>
    <t>Per diem required by the Component 3 Local staff for missions outside Beijing</t>
  </si>
  <si>
    <t>Estimated approximately 1 training per year, 6 nights each
Rate included in the Local staff contract provisions</t>
  </si>
  <si>
    <t>Estimated approximately 1 trip per month, 3 nights each
Rate included in the Local staff contract provisions</t>
  </si>
  <si>
    <t>Estimated approximately 1 training, 12 nights
Rate included in the Local staff contract provisions</t>
  </si>
  <si>
    <t>Estimated approximately 3 trips per year, 3 nights each
Rate included in the Local staff contract provisions</t>
  </si>
  <si>
    <t>Estimated approximately 1 training, 11 nights
Rate included in the Local staff contract provisions</t>
  </si>
  <si>
    <t>5.5.8 International travel for CN Officials C1</t>
  </si>
  <si>
    <t>5.5.8 International travel for CN Officials C2</t>
  </si>
  <si>
    <t>5.5.8 International travel for CN Officials C3</t>
  </si>
  <si>
    <t>Local travel (train, bus, airplane) to provinces for CN expert and local support staff</t>
  </si>
  <si>
    <t xml:space="preserve">Estimated approximately 2 trips per year 
Rate based on the experience of the first year of project </t>
  </si>
  <si>
    <t>Local travel (train, bus, airplane) to provinces for resident team</t>
  </si>
  <si>
    <t xml:space="preserve">Estimated approximately 2 trips per year per 1 person
Rate based on the experience of the first year of project </t>
  </si>
  <si>
    <t>Rent of a car with driver to support logistics in special project events</t>
  </si>
  <si>
    <t>Rent of Furniture, Desktops, Printers for office and other computer equipments (for 12 working positions)</t>
  </si>
  <si>
    <t>After the first year of the project, it has been deleted</t>
  </si>
  <si>
    <t>Beijing Office of the project</t>
  </si>
  <si>
    <t xml:space="preserve">Units and Rate based on the experience of the first year of project </t>
  </si>
  <si>
    <t>Service for telephone line, internet, mails, fax, ecc.</t>
  </si>
  <si>
    <t>Service for printings and photocopies of documents</t>
  </si>
  <si>
    <t>Service for electicity and heating bills and office maintenance</t>
  </si>
  <si>
    <t>Total working days of European short term expert, estimated on the basis of Component 2 activities (Saturday in China considered as working day)</t>
  </si>
  <si>
    <t>Total days of missions for European short term expert, estimated on the basis of Component 2 activities</t>
  </si>
  <si>
    <t xml:space="preserve">Estimated approximately 15 per diem per year
Rate based on the minor amount between the one paid by the Institution and the one foreseen in the Eu table </t>
  </si>
  <si>
    <t xml:space="preserve">Estimated approximately 1 event 2 persons 2 nights for 10 Partners
Rate based on the minor amount between the one paid by the Institution and the one foreseen in the Eu table </t>
  </si>
  <si>
    <t>Consortium Representative missions in China (per diem) to attend High Level Event
that will be held together with the PAC in order to share the related costs</t>
  </si>
  <si>
    <t xml:space="preserve">Estimated approximately 1 travel for 1 CN expert per year
Rate based on the experience of the first year of project </t>
  </si>
  <si>
    <t>2.1.1.1  International travel for Resident Expert C1</t>
  </si>
  <si>
    <t>2.1.1.1  International travel for Resident Expert C2</t>
  </si>
  <si>
    <t>2.1.1.1  International travel for Resident Expert C3</t>
  </si>
  <si>
    <t>International travel from/to China and Europe for Resident Expert of C1</t>
  </si>
  <si>
    <t>International travel from/to China and Europe for Resident Expert of C2</t>
  </si>
  <si>
    <t>International travel from/to China and Europe for Resident Expert of C3</t>
  </si>
  <si>
    <t>International travel from/to China and Europe for Chinese Expert of C1</t>
  </si>
  <si>
    <t>International travel from/to China and Europe for Chinese Expert of C2</t>
  </si>
  <si>
    <t>International travel from/to China and Europe for Chinese Expert of C3</t>
  </si>
  <si>
    <t>International travel from/to China and Europe for European short term expert</t>
  </si>
  <si>
    <t>International travel from/to China and Europe for Consortium Representatives to attend High Level Event that will be held together with the PAC in order to share the related costs</t>
  </si>
  <si>
    <t xml:space="preserve">Estimated approximately 18 travels per year
Rate based on the experience of the first year of project </t>
  </si>
  <si>
    <t>Travel between two European countries or inside one European country (from/to airport and from/to one city and anotherone) for European participants</t>
  </si>
  <si>
    <t>Travel between two European countries or inside one European country (from/to airport and from/to one city and another one) for Chinese participants</t>
  </si>
  <si>
    <t xml:space="preserve">Estimated approximately 3 travels per year
Rate based on the experience of the first year of project </t>
  </si>
  <si>
    <t>Travel between two Chinese countries or inside one Chinese country (from/to airport and from/to one city and anotherone) for European participants</t>
  </si>
  <si>
    <t xml:space="preserve">Estimated approximately 10 travels per year
Rate based on the experience of the first year of project </t>
  </si>
  <si>
    <t>Visa cost for missions in China for European participants</t>
  </si>
  <si>
    <t xml:space="preserve">Considered the same number as international flights from/to China and Europe
Rate based on the current cost </t>
  </si>
  <si>
    <t>Insurance cost for missions in China for European participants</t>
  </si>
  <si>
    <t>International travel from/to China and Europe for Chinese Officials as per agreement between EUD and Chinese Beneficiaries</t>
  </si>
  <si>
    <t xml:space="preserve">Estimated as 1 travel for 3 CN Officials per year
Rate based on the experience of the first year of project </t>
  </si>
  <si>
    <t>Chinese participants missions in Europe (per diem)</t>
  </si>
  <si>
    <t>Interpretation for event in Europe only among different european languages. English interpretation is in charge to Chinese participants.</t>
  </si>
  <si>
    <t>Estimated approximately 13 days per year
Rate considered as an average cost in Europe</t>
  </si>
  <si>
    <t>Documents to be translated from/to Chinese and English. Cost co-financed by Chinese Beneficiars for the same amount of that one related to Chinese Officials flights for activities in Europe</t>
  </si>
  <si>
    <t>Estimated approximately as 1 kit for each mission for each participant
Rate considered as typical cost for such kits</t>
  </si>
  <si>
    <t>Supporting material for training in Europe of Chinese participants</t>
  </si>
  <si>
    <t>Fees are not foreseen for Consortium Representatives missions</t>
  </si>
  <si>
    <t>Consortium Representative missions in Europe for Internal Management Committee (Perdiem)</t>
  </si>
  <si>
    <t xml:space="preserve">Estimated approximately 1 night for 2 persons for 10 Partners for 2 events each year
Rate based on the minor amount between the one paid by the Institution and the one foreseen in the Eu table </t>
  </si>
  <si>
    <t>Consortium Representative missions in China for Project Advisory Committee and Closing Event (Perdiem)</t>
  </si>
  <si>
    <t xml:space="preserve">Estimated approximately for PAC 3 nights for 1 person for 10 Partners for 2 events each year and for Closing 5 nights for 2 persons for 10 Partners for 1 event
Rate based on the minor amount between the one paid by the Institution and the one foreseen in the Eu table </t>
  </si>
  <si>
    <t>International travel from/to China and Europe for Consortium Representatives to attend PAC and Closing Event</t>
  </si>
  <si>
    <t xml:space="preserve">Estimated approximately for PAC 1 person for 10 Partners for 2 events each year and for Closing 2 persons for 10 Partners for 1 event
Rate based on the experience of the first year of project </t>
  </si>
  <si>
    <t xml:space="preserve">Estimated approximately 40 travels for PAC and Closing event
Rate based on the experience of the first year of project </t>
  </si>
  <si>
    <t>Pubblications and printing of outputs estimated (documents and studies as required by the Project Fiche) for C1</t>
  </si>
  <si>
    <t>Pubblications and printing of outputs estimated (documents and studies as required by the Project Fiche) for C2</t>
  </si>
  <si>
    <t>Pubblications and printing of outputs estimated (documents and studies as required by the Project Fiche) for C3</t>
  </si>
  <si>
    <t>Comparative study of EU MS, specific insights and detailed studies (starting from the second year of the project) to investigate on issues related to the options selected in the first year (both for proposals and pilot projects) for C1</t>
  </si>
  <si>
    <t>Comparative study of EU MS, specific insights and detailed studies (starting from the second year of the project) to investigate on issues related to the options selected in the first year (both for proposals and pilot projects) for C2</t>
  </si>
  <si>
    <t>Comparative study of EU MS, specific insights and detailed studies (starting from the second year of the project) to investigate on issues related to the options selected in the first year (both for proposals and pilot projects) for C3</t>
  </si>
  <si>
    <t>Rate based on previous projects implemented, is for a single study/research on specific mattters requested</t>
  </si>
  <si>
    <t>Audit service on project payments and justifications</t>
  </si>
  <si>
    <t>Bank transfer and additional services for project payments</t>
  </si>
  <si>
    <t>Rate considered as an average of 400€ per month</t>
  </si>
  <si>
    <t xml:space="preserve">Visibility materials foreseen in project documentation and visibility guidelines </t>
  </si>
  <si>
    <t xml:space="preserve">Website creation and management </t>
  </si>
  <si>
    <t>Estimated a monthly cost for website creation and update
Rate based on experiences in similar project</t>
  </si>
  <si>
    <t>Travel between two European countries or inside one European country (from/to airport and from/to one city and anotherone) for Subcontractor</t>
  </si>
  <si>
    <t>Consortium Representative missions in Europe (per diem)</t>
  </si>
  <si>
    <t>International travel from/to China and Europe for Subcontractor</t>
  </si>
  <si>
    <t xml:space="preserve">Total days of Subcontractor in China for specific requirements of the project, within C1 scope, that can not be covered by the figures of the EU public sector staff </t>
  </si>
  <si>
    <t xml:space="preserve">Total days of Sucontractor in Europe for specific requirements of the project, within C1 scope, that can not be covered by the figures of the EU public sector staff </t>
  </si>
  <si>
    <t xml:space="preserve">Total working days of Subcontractor for specific requirements of the project,  within C1 scope, that can not be covered by the figures of the EU public sector staff </t>
  </si>
  <si>
    <t xml:space="preserve">Total working days of Subcontractor for specific requirements of the project,  within C3 scope, that can not be covered by the figures of the EU public sector staff </t>
  </si>
  <si>
    <t xml:space="preserve">Total days of Sucontractor in Europe for specific requirements of the project, within C3 scope, that can not be covered by the figures of the EU public sector staff </t>
  </si>
  <si>
    <t xml:space="preserve">Total days of Subcontractor in China for specific requirements of the project, within C3 scope, that can not be covered by the figures of the EU public sector staff </t>
  </si>
  <si>
    <t xml:space="preserve">International travel from/to China and Europe for Subcontractor </t>
  </si>
  <si>
    <t xml:space="preserve">Estimated approximately 2 travels per year
Rate based on the experience of the first year of project </t>
  </si>
  <si>
    <t>5.6.2 Cost of Event  in Europe</t>
  </si>
  <si>
    <t>Cost of venue, catering, coffee break, equipment for HLE of C1</t>
  </si>
  <si>
    <t>Interpretation service, including equipment needed</t>
  </si>
  <si>
    <t>Cost of venue, catering, coffee break, equipment for HLE of C2</t>
  </si>
  <si>
    <t>Cost of venue, catering, coffee break, equipment for HLE of C3</t>
  </si>
  <si>
    <t>Estimated 1 venue for the whole project
Rate considered as the market rate</t>
  </si>
  <si>
    <t>Estimated 2 days per event
Rate considered as the market rate</t>
  </si>
  <si>
    <t>1 full-time and 1 part time Secretariat Staff for C1 activities, contracts, payments</t>
  </si>
  <si>
    <t>1 full-time Secretariat Staff for C2 activities, contracts, payments</t>
  </si>
  <si>
    <t>1 full-time Secretariat Staff for C3 activities, contracts, payments</t>
  </si>
  <si>
    <t>1 full-time Secretariat Staff for Horizontal Activities, including visibility and events</t>
  </si>
  <si>
    <t>Horizontal Activities (IMC, PAC, Closing Event)</t>
  </si>
  <si>
    <t>Travel inside one Chinese country (from/to airport) for European participants to PAC and Closing Event</t>
  </si>
  <si>
    <t>Travel inside one European country (from/to airport) for European participants to IMC</t>
  </si>
  <si>
    <t xml:space="preserve">Estimated approximately 1 travel for 2 persons for 10 Partners for 2 events each year
Rate based on the experience of the first year of project </t>
  </si>
  <si>
    <t xml:space="preserve">Estimated approximately as 8 visibility action per year
Rate based on the experience of the first year of project </t>
  </si>
  <si>
    <t xml:space="preserve">Total working days of Subcontractor for specific requirements of the project,  within C2 scope, that can not be covered by the figures of the EU public sector staff </t>
  </si>
  <si>
    <t xml:space="preserve">Total days of Sucontractor in Europe for specific requirements of the project, within C2 scope, that can not be covered by the figures of the EU public sector staff </t>
  </si>
  <si>
    <t xml:space="preserve">Total days of Subcontractor in China for specific requirements of the project, within C2 scope, that can not be covered by the figures of the EU public sector staff </t>
  </si>
  <si>
    <t xml:space="preserve">Estimated approximately 14 travels for 1 CN expert per year
Rate based on the experience of the first year of project </t>
  </si>
  <si>
    <t>Total working days of European short term expert, estimated on the basis of Component 1 activities (Saturday in China considered as working day)</t>
  </si>
  <si>
    <t>Total days of missions for European short term expert, estimated on the basis of Component 1 activities</t>
  </si>
  <si>
    <t xml:space="preserve">Estimated approximately 7 travels for 1 CN expert per year
Rate based on the experience of the first year of project </t>
  </si>
  <si>
    <t xml:space="preserve">Estimated approximately as 1 travel for 10 Partners. The other 10 travels for the remaining 10 participants to the HLE are covered by PAC
Rate based on the experience of the first year of project </t>
  </si>
  <si>
    <t>Total working days of European short term expert, estimated on the basis of Component 3 activities (Saturday in China considered as working day)</t>
  </si>
  <si>
    <t>Total days of missions for European short term expert, estimated on the basis of Component 3 activities</t>
  </si>
  <si>
    <t xml:space="preserve">Estimated approximately 1 trip per trimester for 3 years
Rate based on the experience of the first year of project </t>
  </si>
  <si>
    <t>Participation to C1 events in Europe (training, study visit, workshop)</t>
  </si>
  <si>
    <t>Approximately 25 per diem per year (15 for a training, 5 for a study visit, 5 for a workshop)</t>
  </si>
  <si>
    <t>Costs covered by the Consortium as a form of co-financing</t>
  </si>
  <si>
    <t>Participation of Consortium Representatives to the High-Level Event</t>
  </si>
  <si>
    <t>Costs associated with the participation of 2 representatives from each of the 10 Consortium partners, coming for a 5 nights stay to Beijing for the High Level event related to C1</t>
  </si>
  <si>
    <t>International travel to China for Consortium representatives participating in the C1 high-Level event</t>
  </si>
  <si>
    <t>2 Representatives for each of the 10 Consortium partners (total: 20 flights)</t>
  </si>
  <si>
    <t>Transportation costs for Chinese participants to events organised in the EU (study visits, training, workshops)</t>
  </si>
  <si>
    <t>Approximately 20 intra-european trips for a training, 5 for a workshop and 15 for a study visit, based on the assumption of one training, one workshop and one study visit in Europe per year for C1</t>
  </si>
  <si>
    <t>Transportation costs for EU participants to events organised in the EU (study visits, training, workshops)</t>
  </si>
  <si>
    <t>Approximately 12 EU participants (mainly experts and trainers) requiring transport to participate actively in an event</t>
  </si>
  <si>
    <t xml:space="preserve">Transportation costs for EU experts working in pilot sites mainly </t>
  </si>
  <si>
    <t>Based on the assumption that there will be one trip per pilot site and per year</t>
  </si>
  <si>
    <t>Minor modification of the rate, taking into account the high per diem rate in the countries visited during the year 2015</t>
  </si>
  <si>
    <t>14 units for a training, 10 for a study visit, 2 for a workshop  based on the assumption of one training, one workshop and one study visit for C1 per year for 3 years</t>
  </si>
  <si>
    <t>Participation to C3 events in Europe (training, study visit, workshop)</t>
  </si>
  <si>
    <t>Approximately 18 per diem per year (10 for training and 8 for study visit/workshop)</t>
  </si>
  <si>
    <t>Costs covered by the Consortium partners as a form of co-financing</t>
  </si>
  <si>
    <t xml:space="preserve">Participation of Consortium representatives to the High level event </t>
  </si>
  <si>
    <t>The cost was erased as the C3 High level event was implemented in 2015 already</t>
  </si>
  <si>
    <t>Travel to China related to High level event on C3</t>
  </si>
  <si>
    <t>Transportation costs for Chinese participants to events organised in the EU (study visit, workshop, training)</t>
  </si>
  <si>
    <t>Approximately 30 trips per year based on 15 intra-european trip for a training and 15 for a workshop or a study visit, based on the assuption of 1 training and 1 workshop or study visit per year, for 3 years</t>
  </si>
  <si>
    <t>Transportation costs for EU participants to events organised in the EU (study visit, workshop, training)</t>
  </si>
  <si>
    <t>Approximately 6 EU participants (mainly trainers) per year that will need transportation to go to the training location</t>
  </si>
  <si>
    <t>Transportation for EU experts working in pilot sites mainly</t>
  </si>
  <si>
    <t>Approximately 4 EU experts paying visit to pilot sites per year for 3 years</t>
  </si>
  <si>
    <t>10 unit for a training, 7 for a workshop or a study visit, based on the assumption of one training and one study visit or one workshop per year for 3 years</t>
  </si>
  <si>
    <t>Approximately 3 trips per year</t>
  </si>
  <si>
    <t xml:space="preserve">Estimated as 1 travel for 6 CN Officials per year
Rate based on the experience of the first year of project </t>
  </si>
  <si>
    <t>Rate considered as typical cost for such kits</t>
  </si>
  <si>
    <t>It is proposed that the cost of EU public sector experts in Europe will not be charged to the EU as par of the grant but covered by the relevant MS as a form of co-financing, Events organised in the EU during the year 2015 confirms that this is workable</t>
  </si>
  <si>
    <t>Estimated approximately 1 mission for 13 CN participants per year with 15 nights each
Minor modification of the rate, taking into account the high per diem rate in the countries visited during the year 2015</t>
  </si>
  <si>
    <r>
      <t xml:space="preserve">Actual budget for the next 3 years
</t>
    </r>
    <r>
      <rPr>
        <b/>
        <i/>
        <sz val="12"/>
        <rFont val="Arial"/>
        <family val="2"/>
      </rPr>
      <t>for internal use only</t>
    </r>
  </si>
  <si>
    <t>47-25-28</t>
  </si>
  <si>
    <t xml:space="preserve">Estimated approximately 5 travels (3 inbound flights + 2 flights for EU project events) for 1 Resident Expert per year
Rate based on the experience of the first year of project </t>
  </si>
  <si>
    <t xml:space="preserve">Estimated approximately 14 missions per year with 14 nights each
Rate based on the minor amount between the one paid by the Institution and the one foreseen in the Eu table </t>
  </si>
  <si>
    <t xml:space="preserve">Estimated approximately 14 missions per year with 12 working days each
Flat Daily rate considered </t>
  </si>
  <si>
    <t xml:space="preserve">Estimated approximately 7 missions per year with 13 working days each
Flat Daily rate considered </t>
  </si>
  <si>
    <t xml:space="preserve">Estimated approximately 7 missions per year with 15 nights each
Rate based on the minor amount between the one paid by the Institution and the one foreseen in the Eu table </t>
  </si>
  <si>
    <t xml:space="preserve">Estimated approximately 7 missions per year with 16 nights each
Rate based on the minor amount between the one paid by the Institution and the one foreseen in the Eu table </t>
  </si>
  <si>
    <t xml:space="preserve">Estimated approximately 7 missions per year with 13,5 working days each
Flat Daily rate considered </t>
  </si>
  <si>
    <t xml:space="preserve">Approximately 11 per diem per year </t>
  </si>
  <si>
    <t>Approximately 2 trips per year</t>
  </si>
  <si>
    <t xml:space="preserve">Approximately 10 per diem per year </t>
  </si>
  <si>
    <t>Estimated approximately 2 missions per year with 7 nights each
Rate considered as an average EU per diem in European countries considering the EU Per Diem Table</t>
  </si>
  <si>
    <t>Estimated approximately 3 missions per year with 14 nights each
Rate based on the EU Table</t>
  </si>
  <si>
    <t>Estimated approximately 3 missions per year with 7,5 nights each
Rate considered as an average EU per diem in European countries considering the EU Per Diem Table</t>
  </si>
  <si>
    <t>Estimated approximately 2 missions per year with 12 nights each
Rate based on the EU Table</t>
  </si>
  <si>
    <r>
      <t>6.1.1 Publications</t>
    </r>
    <r>
      <rPr>
        <vertAlign val="superscript"/>
        <sz val="10"/>
        <rFont val="Arial"/>
        <family val="2"/>
      </rPr>
      <t xml:space="preserve">9  </t>
    </r>
    <r>
      <rPr>
        <b/>
        <sz val="10"/>
        <rFont val="Arial"/>
        <family val="2"/>
      </rPr>
      <t>C1</t>
    </r>
    <r>
      <rPr>
        <vertAlign val="superscript"/>
        <sz val="10"/>
        <rFont val="Arial"/>
        <family val="2"/>
      </rPr>
      <t xml:space="preserve"> </t>
    </r>
  </si>
  <si>
    <r>
      <t>6.1.2 Publications</t>
    </r>
    <r>
      <rPr>
        <vertAlign val="superscript"/>
        <sz val="10"/>
        <rFont val="Arial"/>
        <family val="2"/>
      </rPr>
      <t xml:space="preserve">9  </t>
    </r>
    <r>
      <rPr>
        <b/>
        <sz val="10"/>
        <rFont val="Arial"/>
        <family val="2"/>
      </rPr>
      <t>C2</t>
    </r>
  </si>
  <si>
    <r>
      <t>6.1.3 Publications</t>
    </r>
    <r>
      <rPr>
        <vertAlign val="superscript"/>
        <sz val="10"/>
        <rFont val="Arial"/>
        <family val="2"/>
      </rPr>
      <t xml:space="preserve">9  </t>
    </r>
    <r>
      <rPr>
        <b/>
        <sz val="10"/>
        <rFont val="Arial"/>
        <family val="2"/>
      </rPr>
      <t>C3</t>
    </r>
  </si>
  <si>
    <r>
      <t>6.2.1 Studies, research</t>
    </r>
    <r>
      <rPr>
        <vertAlign val="superscript"/>
        <sz val="10"/>
        <rFont val="Arial"/>
        <family val="2"/>
      </rPr>
      <t xml:space="preserve">9 </t>
    </r>
    <r>
      <rPr>
        <b/>
        <sz val="10"/>
        <rFont val="Arial"/>
        <family val="2"/>
      </rPr>
      <t>C1</t>
    </r>
  </si>
  <si>
    <r>
      <t>6.2.2 Studies, research</t>
    </r>
    <r>
      <rPr>
        <vertAlign val="superscript"/>
        <sz val="10"/>
        <rFont val="Arial"/>
        <family val="2"/>
      </rPr>
      <t xml:space="preserve">9 </t>
    </r>
    <r>
      <rPr>
        <b/>
        <sz val="10"/>
        <rFont val="Arial"/>
        <family val="2"/>
      </rPr>
      <t>C2</t>
    </r>
  </si>
  <si>
    <r>
      <t>6.2.3 Studies, research</t>
    </r>
    <r>
      <rPr>
        <vertAlign val="superscript"/>
        <sz val="10"/>
        <rFont val="Arial"/>
        <family val="2"/>
      </rPr>
      <t xml:space="preserve">9 </t>
    </r>
    <r>
      <rPr>
        <b/>
        <sz val="10"/>
        <rFont val="Arial"/>
        <family val="2"/>
      </rPr>
      <t>C3</t>
    </r>
  </si>
  <si>
    <t>6.6.1.4 Expert Subcontracting international travel for events in CN</t>
  </si>
  <si>
    <t>6.6.1.5 Expert Subcontracting per diem for events in CN</t>
  </si>
  <si>
    <t>6.6.1.2 Expert Subcontracting per diem for events in EU</t>
  </si>
  <si>
    <t>6.6.1.3 Expert Subcontracting fee</t>
  </si>
  <si>
    <t xml:space="preserve">6.6.2 Expert Subcontracting C2 </t>
  </si>
  <si>
    <t>6.6.2.1 Expert Subcontracting travel/Local transportation for events in EU</t>
  </si>
  <si>
    <t>6.6.2.2 Expert Subcontracting per diem for events in EU</t>
  </si>
  <si>
    <t>6.6.2.3 Expert Subcontracting fee</t>
  </si>
  <si>
    <t>6.6.2.4 Expert Subcontracting international travel for events in CN</t>
  </si>
  <si>
    <t>6.6.2.5 Expert Subcontracting per diem for events in CN</t>
  </si>
  <si>
    <t>6.6.3 Expert Subcontracting C3</t>
  </si>
  <si>
    <t>6.6.3.2 Expert Subcontracting per diem for events in EU</t>
  </si>
  <si>
    <t>6.6.3.3 Expert Subcontracting fee</t>
  </si>
  <si>
    <t>6.6.3.4 Expert Subcontracting international travel for events in CN</t>
  </si>
  <si>
    <t>6.6.3.5 Expert Subcontracting per diem for events in CN</t>
  </si>
  <si>
    <t>5 missions per year (3 years) implemented by experts not covered by the status of ''EU public sector staff''</t>
  </si>
  <si>
    <t xml:space="preserve">Estimated approximately 5 missions per year 
Flat Daily rate considered </t>
  </si>
  <si>
    <t xml:space="preserve">Estimated approximately 4 rents per year
Rate based on the experience of the first year of project </t>
  </si>
  <si>
    <t>6.7 Organization and Logistics costs for Training (EU- China) C1</t>
  </si>
  <si>
    <t>6.7 Organization and Logistics costs for Training (EU- China) C2</t>
  </si>
  <si>
    <t>6.7 Organization and Logistics costs for Training (EU- China) C3</t>
  </si>
  <si>
    <t xml:space="preserve">6.7 Organization and Logistics costs for Training (EU- China) </t>
  </si>
  <si>
    <t>Costs related to the organization of training courses and meetings in Europe and China</t>
  </si>
  <si>
    <t>Venue to hold event in Europe (workshop, study visit, seminar) including coffee break</t>
  </si>
  <si>
    <t>5 for a workshop, 5 for a study visit, based on the assumption of one workshop and one study visit for C1 per year for 3 years</t>
  </si>
  <si>
    <t>Estimated approximately 8 venues per year for 3 years
Rate considered as an average cost in Europe</t>
  </si>
  <si>
    <t>7 for a workshop or a study visit, based on the assumption of one training and one study visit or one workshop per year for 3 years</t>
  </si>
  <si>
    <t>Estimated approximately 5 units per year for 4 years</t>
  </si>
  <si>
    <t>Estimated approximately 4 events per year for 3 years
Rate based on experiences in similar project</t>
  </si>
  <si>
    <t>Estimated approximately 5 events per year for 3 years
Rate based on experiences in similar project</t>
  </si>
  <si>
    <t>Reduced number of unit based on the experience of the year 2015. The real number of units for translation is 1.500pages, composed by 780 covered by EU funds and 720 covered by CN funds (exchange with international flights).
The rate has been increased on the basis on local prices</t>
  </si>
  <si>
    <t>The real number of units for translation is 750pages, composed by 390 covered by EU funds and 360 covered by CN funds (exchange with international flights).
The rate has been increased on the basis on local prices</t>
  </si>
  <si>
    <t>Reduced number of unit based on the experience of the year 2015. The real number of units for translation is 1.250pages, composed by 530 covered by EU funds and 720 covered by CN funds (exchange with international flights).
The rate has been increased on the basis on local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</si>
</sst>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 #,##0_-;_-* &quot;-&quot;_-;_-@_-"/>
    <numFmt numFmtId="165" formatCode="_-&quot;€&quot;\ * #,##0.00_-;\-&quot;€&quot;\ * #,##0.00_-;_-&quot;€&quot;\ * &quot;-&quot;??_-;_-@_-"/>
    <numFmt numFmtId="166" formatCode="_-* #,##0.00_-;\-* #,##0.00_-;_-* &quot;-&quot;??_-;_-@_-"/>
    <numFmt numFmtId="167" formatCode="0.0"/>
    <numFmt numFmtId="168" formatCode="_-* #,##0_-;\-* #,##0_-;_-* &quot;-&quot;??_-;_-@_-"/>
  </numFmts>
  <fonts count="28"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0"/>
      <name val="Arial"/>
      <family val="2"/>
    </font>
    <font>
      <b/>
      <sz val="10"/>
      <name val="Arial"/>
      <family val="2"/>
    </font>
    <font>
      <b/>
      <vertAlign val="superscript"/>
      <sz val="12"/>
      <name val="Arial"/>
      <family val="2"/>
    </font>
    <font>
      <b/>
      <vertAlign val="superscript"/>
      <sz val="10"/>
      <name val="Arial"/>
      <family val="2"/>
    </font>
    <font>
      <i/>
      <sz val="10"/>
      <name val="Arial"/>
      <family val="2"/>
    </font>
    <font>
      <b/>
      <i/>
      <sz val="10"/>
      <name val="Arial"/>
      <family val="2"/>
    </font>
    <font>
      <vertAlign val="superscript"/>
      <sz val="10"/>
      <name val="Arial"/>
      <family val="2"/>
    </font>
    <font>
      <sz val="10"/>
      <color rgb="FFC00000"/>
      <name val="Arial"/>
      <family val="2"/>
    </font>
    <font>
      <sz val="11"/>
      <color theme="1"/>
      <name val="Arial"/>
      <family val="2"/>
    </font>
    <font>
      <i/>
      <vertAlign val="superscript"/>
      <sz val="10"/>
      <name val="Arial"/>
      <family val="2"/>
    </font>
    <font>
      <b/>
      <sz val="11"/>
      <name val="Arial"/>
      <family val="2"/>
    </font>
    <font>
      <b/>
      <sz val="10"/>
      <color theme="0"/>
      <name val="Arial"/>
      <family val="2"/>
    </font>
    <font>
      <sz val="11"/>
      <name val="Arial"/>
      <family val="2"/>
    </font>
    <font>
      <sz val="11"/>
      <color rgb="FF9C6500"/>
      <name val="Calibri"/>
      <family val="2"/>
      <scheme val="minor"/>
    </font>
    <font>
      <b/>
      <i/>
      <sz val="12"/>
      <name val="Arial"/>
      <family val="2"/>
    </font>
    <font>
      <sz val="11"/>
      <color theme="0"/>
      <name val="Calibri"/>
      <family val="2"/>
      <scheme val="minor"/>
    </font>
    <font>
      <b/>
      <sz val="14"/>
      <color theme="3"/>
      <name val="Arial"/>
      <family val="2"/>
    </font>
    <font>
      <i/>
      <sz val="11"/>
      <color theme="0"/>
      <name val="Calibri"/>
      <family val="2"/>
      <scheme val="minor"/>
    </font>
    <font>
      <i/>
      <sz val="10"/>
      <color rgb="FF002060"/>
      <name val="Arial"/>
      <family val="2"/>
    </font>
    <font>
      <b/>
      <i/>
      <sz val="10"/>
      <color rgb="FF002060"/>
      <name val="Arial"/>
      <family val="2"/>
    </font>
    <font>
      <b/>
      <sz val="10"/>
      <color rgb="FF002060"/>
      <name val="Arial"/>
      <family val="2"/>
    </font>
    <font>
      <sz val="10"/>
      <color rgb="FF002060"/>
      <name val="Arial"/>
      <family val="2"/>
    </font>
    <font>
      <i/>
      <sz val="11"/>
      <name val="Calibri"/>
      <family val="2"/>
      <scheme val="minor"/>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1" tint="0.499984740745262"/>
        <bgColor indexed="64"/>
      </patternFill>
    </fill>
    <fill>
      <patternFill patternType="solid">
        <fgColor theme="3" tint="0.59999389629810485"/>
        <bgColor indexed="64"/>
      </patternFill>
    </fill>
    <fill>
      <patternFill patternType="solid">
        <fgColor rgb="FFFFEB9C"/>
      </patternFill>
    </fill>
    <fill>
      <patternFill patternType="solid">
        <fgColor theme="8" tint="0.39997558519241921"/>
        <bgColor indexed="64"/>
      </patternFill>
    </fill>
    <fill>
      <patternFill patternType="solid">
        <fgColor theme="9"/>
      </patternFill>
    </fill>
    <fill>
      <patternFill patternType="solid">
        <fgColor theme="0" tint="-0.34998626667073579"/>
        <bgColor indexed="64"/>
      </patternFill>
    </fill>
    <fill>
      <patternFill patternType="solid">
        <fgColor rgb="FFFFC00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bottom/>
      <diagonal/>
    </border>
  </borders>
  <cellStyleXfs count="8">
    <xf numFmtId="0" fontId="0" fillId="0" borderId="0"/>
    <xf numFmtId="166" fontId="2" fillId="0" borderId="0" applyFont="0" applyFill="0" applyBorder="0" applyAlignment="0" applyProtection="0"/>
    <xf numFmtId="9" fontId="2" fillId="0" borderId="0" applyFont="0" applyFill="0" applyBorder="0" applyAlignment="0" applyProtection="0"/>
    <xf numFmtId="0" fontId="3" fillId="0" borderId="0"/>
    <xf numFmtId="165" fontId="3" fillId="0" borderId="0" applyFont="0" applyFill="0" applyBorder="0" applyAlignment="0" applyProtection="0"/>
    <xf numFmtId="9" fontId="1" fillId="0" borderId="0" applyFont="0" applyFill="0" applyBorder="0" applyAlignment="0" applyProtection="0"/>
    <xf numFmtId="0" fontId="18" fillId="8" borderId="0" applyNumberFormat="0" applyBorder="0" applyAlignment="0" applyProtection="0"/>
    <xf numFmtId="0" fontId="20" fillId="10" borderId="0" applyNumberFormat="0" applyBorder="0" applyAlignment="0" applyProtection="0"/>
  </cellStyleXfs>
  <cellXfs count="377">
    <xf numFmtId="0" fontId="0" fillId="0" borderId="0" xfId="0"/>
    <xf numFmtId="0" fontId="5" fillId="0" borderId="0" xfId="0" applyFont="1" applyFill="1" applyBorder="1" applyAlignment="1">
      <alignment vertical="center" wrapText="1"/>
    </xf>
    <xf numFmtId="4" fontId="6" fillId="2" borderId="4" xfId="0" applyNumberFormat="1" applyFont="1" applyFill="1" applyBorder="1" applyAlignment="1">
      <alignment horizontal="center" vertical="center" wrapText="1"/>
    </xf>
    <xf numFmtId="4" fontId="6" fillId="2" borderId="34" xfId="0" applyNumberFormat="1" applyFont="1" applyFill="1" applyBorder="1" applyAlignment="1">
      <alignment horizontal="center" vertical="center" wrapText="1"/>
    </xf>
    <xf numFmtId="0" fontId="6" fillId="0" borderId="23" xfId="0" applyFont="1" applyFill="1" applyBorder="1" applyAlignment="1">
      <alignment horizontal="left" vertical="center" wrapText="1"/>
    </xf>
    <xf numFmtId="4" fontId="6" fillId="0" borderId="18" xfId="0" applyNumberFormat="1" applyFont="1" applyFill="1" applyBorder="1" applyAlignment="1">
      <alignment horizontal="left" vertical="center" wrapText="1"/>
    </xf>
    <xf numFmtId="3" fontId="6" fillId="0" borderId="6" xfId="0" applyNumberFormat="1" applyFont="1" applyFill="1" applyBorder="1" applyAlignment="1">
      <alignment horizontal="center" vertical="center" wrapText="1"/>
    </xf>
    <xf numFmtId="4" fontId="6" fillId="0" borderId="6"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4" fontId="5" fillId="0" borderId="12" xfId="0" applyNumberFormat="1" applyFont="1" applyFill="1" applyBorder="1" applyAlignment="1">
      <alignment horizontal="right" vertical="center" wrapText="1"/>
    </xf>
    <xf numFmtId="3" fontId="5" fillId="3" borderId="12" xfId="0" applyNumberFormat="1" applyFont="1" applyFill="1" applyBorder="1" applyAlignment="1">
      <alignment horizontal="center" vertical="center" wrapText="1"/>
    </xf>
    <xf numFmtId="0" fontId="6" fillId="0" borderId="18" xfId="0" applyFont="1" applyBorder="1" applyAlignment="1">
      <alignment horizontal="center" vertical="center" wrapText="1"/>
    </xf>
    <xf numFmtId="3" fontId="6" fillId="0" borderId="6" xfId="0" applyNumberFormat="1" applyFont="1" applyBorder="1" applyAlignment="1">
      <alignment horizontal="center" vertical="center" wrapText="1"/>
    </xf>
    <xf numFmtId="4" fontId="6" fillId="0" borderId="6" xfId="0" applyNumberFormat="1" applyFont="1" applyBorder="1" applyAlignment="1">
      <alignment horizontal="right" vertical="center" wrapText="1"/>
    </xf>
    <xf numFmtId="0" fontId="6" fillId="0" borderId="11" xfId="0"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4" fontId="6" fillId="0" borderId="12" xfId="0" applyNumberFormat="1" applyFont="1" applyFill="1" applyBorder="1" applyAlignment="1">
      <alignment horizontal="right" vertical="center" wrapText="1"/>
    </xf>
    <xf numFmtId="0" fontId="5" fillId="3" borderId="11" xfId="0" applyFont="1" applyFill="1" applyBorder="1" applyAlignment="1">
      <alignment horizontal="center" vertical="center" wrapText="1"/>
    </xf>
    <xf numFmtId="4" fontId="5" fillId="3" borderId="12" xfId="0" applyNumberFormat="1" applyFont="1" applyFill="1" applyBorder="1" applyAlignment="1">
      <alignment horizontal="right" vertical="center" wrapText="1"/>
    </xf>
    <xf numFmtId="0" fontId="5" fillId="3" borderId="20" xfId="0" applyFont="1" applyFill="1" applyBorder="1" applyAlignment="1">
      <alignment horizontal="center" vertical="center" wrapText="1"/>
    </xf>
    <xf numFmtId="3" fontId="5" fillId="3" borderId="21" xfId="0" applyNumberFormat="1" applyFont="1" applyFill="1" applyBorder="1" applyAlignment="1">
      <alignment horizontal="center" vertical="center" wrapText="1"/>
    </xf>
    <xf numFmtId="4" fontId="5" fillId="3" borderId="21" xfId="0" applyNumberFormat="1" applyFont="1" applyFill="1" applyBorder="1" applyAlignment="1">
      <alignment horizontal="right" vertical="center" wrapText="1"/>
    </xf>
    <xf numFmtId="3" fontId="6" fillId="0" borderId="8" xfId="0" applyNumberFormat="1" applyFont="1" applyBorder="1" applyAlignment="1">
      <alignment horizontal="center" vertical="center" wrapText="1"/>
    </xf>
    <xf numFmtId="0" fontId="5" fillId="0" borderId="20" xfId="0" applyFont="1" applyFill="1" applyBorder="1" applyAlignment="1">
      <alignment horizontal="center" vertical="center" wrapText="1"/>
    </xf>
    <xf numFmtId="4" fontId="5" fillId="0" borderId="21" xfId="0" applyNumberFormat="1" applyFont="1" applyFill="1" applyBorder="1" applyAlignment="1">
      <alignment horizontal="right" vertical="center" wrapText="1"/>
    </xf>
    <xf numFmtId="0" fontId="5" fillId="0" borderId="18" xfId="0" applyFont="1" applyBorder="1" applyAlignment="1">
      <alignment horizontal="center" vertical="center" wrapText="1"/>
    </xf>
    <xf numFmtId="3" fontId="5" fillId="0" borderId="8" xfId="0" applyNumberFormat="1" applyFont="1" applyBorder="1" applyAlignment="1">
      <alignment horizontal="center" vertical="center" wrapText="1"/>
    </xf>
    <xf numFmtId="4" fontId="5" fillId="0" borderId="6" xfId="0" applyNumberFormat="1" applyFont="1" applyBorder="1" applyAlignment="1">
      <alignment horizontal="right" vertical="center" wrapText="1"/>
    </xf>
    <xf numFmtId="0" fontId="10" fillId="3" borderId="26" xfId="0" applyFont="1" applyFill="1" applyBorder="1" applyAlignment="1">
      <alignment horizontal="left" vertical="center" wrapText="1"/>
    </xf>
    <xf numFmtId="0" fontId="5" fillId="3" borderId="27" xfId="0"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4" fontId="5" fillId="3" borderId="3" xfId="0" applyNumberFormat="1" applyFont="1" applyFill="1" applyBorder="1" applyAlignment="1">
      <alignment horizontal="right" vertical="center" wrapText="1"/>
    </xf>
    <xf numFmtId="0" fontId="6" fillId="0" borderId="18" xfId="0"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4" fontId="5" fillId="0" borderId="6" xfId="0" applyNumberFormat="1" applyFont="1" applyFill="1" applyBorder="1" applyAlignment="1">
      <alignment horizontal="right" vertical="center" wrapText="1"/>
    </xf>
    <xf numFmtId="0" fontId="6" fillId="3" borderId="11" xfId="0" applyFont="1" applyFill="1" applyBorder="1" applyAlignment="1">
      <alignment horizontal="center" vertical="center" wrapText="1"/>
    </xf>
    <xf numFmtId="0" fontId="10" fillId="5" borderId="14" xfId="0" applyFont="1" applyFill="1" applyBorder="1" applyAlignment="1">
      <alignment horizontal="left" vertical="center" wrapText="1"/>
    </xf>
    <xf numFmtId="0" fontId="6" fillId="5" borderId="25" xfId="0" applyFont="1" applyFill="1" applyBorder="1" applyAlignment="1">
      <alignment horizontal="center" vertical="center" wrapText="1"/>
    </xf>
    <xf numFmtId="3" fontId="6" fillId="5" borderId="16" xfId="0" applyNumberFormat="1" applyFont="1" applyFill="1" applyBorder="1" applyAlignment="1">
      <alignment horizontal="center" vertical="center" wrapText="1"/>
    </xf>
    <xf numFmtId="4" fontId="6" fillId="5" borderId="16" xfId="0" applyNumberFormat="1" applyFont="1" applyFill="1" applyBorder="1" applyAlignment="1">
      <alignment horizontal="right" vertical="center" wrapText="1"/>
    </xf>
    <xf numFmtId="0" fontId="6" fillId="6" borderId="25" xfId="0" applyFont="1" applyFill="1" applyBorder="1" applyAlignment="1">
      <alignment horizontal="left" vertical="center" wrapText="1"/>
    </xf>
    <xf numFmtId="0" fontId="10" fillId="6" borderId="16" xfId="0" applyFont="1" applyFill="1" applyBorder="1" applyAlignment="1">
      <alignment horizontal="center" vertical="center" wrapText="1"/>
    </xf>
    <xf numFmtId="3" fontId="10" fillId="6" borderId="16" xfId="0" applyNumberFormat="1" applyFont="1" applyFill="1" applyBorder="1" applyAlignment="1">
      <alignment horizontal="center" vertical="center" wrapText="1"/>
    </xf>
    <xf numFmtId="4" fontId="10" fillId="6" borderId="16" xfId="0" applyNumberFormat="1" applyFont="1" applyFill="1" applyBorder="1" applyAlignment="1">
      <alignment horizontal="right" vertical="center" wrapText="1"/>
    </xf>
    <xf numFmtId="0" fontId="6" fillId="3" borderId="26" xfId="0" applyFont="1" applyFill="1" applyBorder="1" applyAlignment="1">
      <alignment horizontal="left" vertical="center" wrapText="1"/>
    </xf>
    <xf numFmtId="4" fontId="5" fillId="3" borderId="3" xfId="0" applyNumberFormat="1" applyFont="1" applyFill="1" applyBorder="1" applyAlignment="1">
      <alignment vertical="center" wrapText="1"/>
    </xf>
    <xf numFmtId="0" fontId="6" fillId="3" borderId="14" xfId="0" applyFont="1" applyFill="1" applyBorder="1" applyAlignment="1">
      <alignment horizontal="left" vertical="center" wrapText="1"/>
    </xf>
    <xf numFmtId="0" fontId="6" fillId="0" borderId="37" xfId="0" applyFont="1" applyBorder="1" applyAlignment="1">
      <alignment horizontal="left" vertical="center" wrapText="1"/>
    </xf>
    <xf numFmtId="4" fontId="6" fillId="5" borderId="31" xfId="0" applyNumberFormat="1" applyFont="1" applyFill="1" applyBorder="1" applyAlignment="1">
      <alignment horizontal="right" vertical="center" wrapText="1"/>
    </xf>
    <xf numFmtId="3" fontId="6" fillId="0" borderId="4" xfId="0" applyNumberFormat="1" applyFont="1" applyFill="1" applyBorder="1" applyAlignment="1">
      <alignment horizontal="center" vertical="center" wrapText="1"/>
    </xf>
    <xf numFmtId="4" fontId="6" fillId="0" borderId="4" xfId="0" applyNumberFormat="1" applyFont="1" applyFill="1" applyBorder="1" applyAlignment="1">
      <alignment horizontal="right" vertical="center" wrapText="1"/>
    </xf>
    <xf numFmtId="4" fontId="6" fillId="5" borderId="15" xfId="0" applyNumberFormat="1" applyFont="1" applyFill="1" applyBorder="1" applyAlignment="1">
      <alignment horizontal="right" vertical="center" wrapText="1"/>
    </xf>
    <xf numFmtId="3" fontId="6" fillId="0" borderId="8" xfId="0" applyNumberFormat="1" applyFont="1" applyFill="1" applyBorder="1" applyAlignment="1">
      <alignment horizontal="center" vertical="center" wrapText="1"/>
    </xf>
    <xf numFmtId="3" fontId="5" fillId="0" borderId="21" xfId="0" applyNumberFormat="1" applyFont="1" applyFill="1" applyBorder="1" applyAlignment="1">
      <alignment horizontal="center" vertical="center" wrapText="1"/>
    </xf>
    <xf numFmtId="4" fontId="4" fillId="2" borderId="25" xfId="0" applyNumberFormat="1" applyFont="1" applyFill="1" applyBorder="1" applyAlignment="1">
      <alignment horizontal="centerContinuous" vertical="center" wrapText="1"/>
    </xf>
    <xf numFmtId="4" fontId="4" fillId="2" borderId="30" xfId="0" applyNumberFormat="1" applyFont="1" applyFill="1" applyBorder="1" applyAlignment="1">
      <alignment horizontal="centerContinuous" vertical="center" wrapText="1"/>
    </xf>
    <xf numFmtId="4" fontId="4" fillId="2" borderId="28" xfId="0" applyNumberFormat="1" applyFont="1" applyFill="1" applyBorder="1" applyAlignment="1">
      <alignment horizontal="centerContinuous" vertical="center" wrapText="1"/>
    </xf>
    <xf numFmtId="4" fontId="6" fillId="0" borderId="9" xfId="0" applyNumberFormat="1" applyFont="1" applyFill="1" applyBorder="1" applyAlignment="1">
      <alignment horizontal="left" vertical="center" wrapText="1"/>
    </xf>
    <xf numFmtId="0" fontId="6" fillId="4" borderId="25" xfId="0" applyFont="1" applyFill="1" applyBorder="1" applyAlignment="1">
      <alignment horizontal="left" vertical="center" wrapText="1"/>
    </xf>
    <xf numFmtId="0" fontId="10" fillId="4" borderId="16" xfId="0" applyFont="1" applyFill="1" applyBorder="1" applyAlignment="1">
      <alignment horizontal="center" vertical="center" wrapText="1"/>
    </xf>
    <xf numFmtId="3" fontId="10" fillId="4" borderId="16" xfId="0" applyNumberFormat="1" applyFont="1" applyFill="1" applyBorder="1" applyAlignment="1">
      <alignment horizontal="center" vertical="center" wrapText="1"/>
    </xf>
    <xf numFmtId="4" fontId="10" fillId="4" borderId="16" xfId="0" applyNumberFormat="1" applyFont="1" applyFill="1" applyBorder="1" applyAlignment="1">
      <alignment horizontal="right" vertical="center" wrapText="1"/>
    </xf>
    <xf numFmtId="0" fontId="10" fillId="4" borderId="15" xfId="0" applyFont="1" applyFill="1" applyBorder="1" applyAlignment="1">
      <alignment horizontal="center" vertical="center" wrapText="1"/>
    </xf>
    <xf numFmtId="166" fontId="6" fillId="4" borderId="31" xfId="1" applyFont="1" applyFill="1" applyBorder="1" applyAlignment="1">
      <alignment horizontal="center" vertical="center" wrapText="1"/>
    </xf>
    <xf numFmtId="0" fontId="4" fillId="0" borderId="0" xfId="0" applyFont="1" applyFill="1" applyBorder="1" applyAlignment="1">
      <alignment vertical="center"/>
    </xf>
    <xf numFmtId="4" fontId="5" fillId="0" borderId="0" xfId="0" applyNumberFormat="1" applyFont="1" applyFill="1" applyBorder="1" applyAlignment="1">
      <alignment vertical="center"/>
    </xf>
    <xf numFmtId="4"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6" fillId="0" borderId="0" xfId="0" applyNumberFormat="1" applyFont="1" applyBorder="1" applyAlignment="1">
      <alignment vertical="center"/>
    </xf>
    <xf numFmtId="0" fontId="4" fillId="4" borderId="1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6" fillId="0" borderId="0" xfId="0" applyFont="1" applyBorder="1" applyAlignment="1">
      <alignment vertical="center"/>
    </xf>
    <xf numFmtId="0" fontId="9" fillId="3" borderId="10"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3" xfId="0" applyFont="1" applyFill="1" applyBorder="1" applyAlignment="1">
      <alignment horizontal="left" vertical="center" wrapText="1"/>
    </xf>
    <xf numFmtId="166" fontId="6" fillId="6" borderId="31" xfId="1" applyFont="1" applyFill="1" applyBorder="1" applyAlignment="1">
      <alignment horizontal="center" vertical="center" wrapText="1"/>
    </xf>
    <xf numFmtId="4" fontId="6" fillId="0" borderId="0" xfId="0" applyNumberFormat="1" applyFont="1" applyFill="1" applyBorder="1" applyAlignment="1">
      <alignment horizontal="centerContinuous" vertical="center" wrapText="1"/>
    </xf>
    <xf numFmtId="4" fontId="6" fillId="0" borderId="0" xfId="0" applyNumberFormat="1" applyFont="1" applyFill="1" applyBorder="1" applyAlignment="1">
      <alignment vertical="center"/>
    </xf>
    <xf numFmtId="166" fontId="6" fillId="2" borderId="11" xfId="1" applyFont="1" applyFill="1" applyBorder="1" applyAlignment="1">
      <alignment vertical="center"/>
    </xf>
    <xf numFmtId="166" fontId="6" fillId="2" borderId="18" xfId="1" applyFont="1" applyFill="1" applyBorder="1" applyAlignment="1">
      <alignment vertical="center"/>
    </xf>
    <xf numFmtId="0" fontId="6" fillId="2" borderId="41" xfId="0" applyFont="1" applyFill="1" applyBorder="1" applyAlignment="1">
      <alignment horizontal="center" vertical="center" wrapText="1"/>
    </xf>
    <xf numFmtId="4" fontId="6" fillId="2" borderId="42" xfId="0" applyNumberFormat="1" applyFont="1" applyFill="1" applyBorder="1" applyAlignment="1">
      <alignment horizontal="center" vertical="center" wrapText="1"/>
    </xf>
    <xf numFmtId="166" fontId="6" fillId="2" borderId="15" xfId="1" applyFont="1" applyFill="1" applyBorder="1" applyAlignment="1">
      <alignment vertical="center"/>
    </xf>
    <xf numFmtId="166" fontId="6" fillId="2" borderId="27" xfId="1" applyFont="1" applyFill="1" applyBorder="1" applyAlignment="1">
      <alignment vertical="center"/>
    </xf>
    <xf numFmtId="3" fontId="5" fillId="0" borderId="3" xfId="0" applyNumberFormat="1" applyFont="1" applyBorder="1" applyAlignment="1">
      <alignment horizontal="center" vertical="center" wrapText="1"/>
    </xf>
    <xf numFmtId="4" fontId="5" fillId="0" borderId="3" xfId="0" applyNumberFormat="1" applyFont="1" applyBorder="1" applyAlignment="1">
      <alignment horizontal="right" vertical="center" wrapText="1"/>
    </xf>
    <xf numFmtId="10" fontId="6" fillId="0" borderId="0" xfId="2" applyNumberFormat="1" applyFont="1" applyFill="1" applyBorder="1" applyAlignment="1">
      <alignment horizontal="center" vertical="center"/>
    </xf>
    <xf numFmtId="10" fontId="6" fillId="0" borderId="0" xfId="2" applyNumberFormat="1" applyFont="1" applyBorder="1" applyAlignment="1">
      <alignment horizontal="center" vertical="center"/>
    </xf>
    <xf numFmtId="10" fontId="6" fillId="2" borderId="36" xfId="2" applyNumberFormat="1" applyFont="1" applyFill="1" applyBorder="1" applyAlignment="1">
      <alignment horizontal="center" vertical="center"/>
    </xf>
    <xf numFmtId="10" fontId="6" fillId="2" borderId="2" xfId="2" applyNumberFormat="1" applyFont="1" applyFill="1" applyBorder="1" applyAlignment="1">
      <alignment horizontal="center" vertical="center"/>
    </xf>
    <xf numFmtId="10" fontId="6" fillId="4" borderId="30" xfId="2" applyNumberFormat="1" applyFont="1" applyFill="1" applyBorder="1" applyAlignment="1">
      <alignment horizontal="center" vertical="center"/>
    </xf>
    <xf numFmtId="10" fontId="6" fillId="2" borderId="0" xfId="2" applyNumberFormat="1" applyFont="1" applyFill="1" applyBorder="1" applyAlignment="1">
      <alignment horizontal="center" vertical="center"/>
    </xf>
    <xf numFmtId="10" fontId="6" fillId="5" borderId="30" xfId="2" applyNumberFormat="1" applyFont="1" applyFill="1" applyBorder="1" applyAlignment="1">
      <alignment horizontal="center" vertical="center" wrapText="1"/>
    </xf>
    <xf numFmtId="166" fontId="6" fillId="2" borderId="39" xfId="1" applyFont="1" applyFill="1" applyBorder="1" applyAlignment="1">
      <alignment vertical="center"/>
    </xf>
    <xf numFmtId="10" fontId="6" fillId="4" borderId="44" xfId="2" applyNumberFormat="1" applyFont="1" applyFill="1" applyBorder="1" applyAlignment="1">
      <alignment horizontal="center" vertical="center"/>
    </xf>
    <xf numFmtId="0" fontId="10" fillId="4" borderId="39" xfId="0" applyFont="1" applyFill="1" applyBorder="1" applyAlignment="1">
      <alignment horizontal="center" vertical="center" wrapText="1"/>
    </xf>
    <xf numFmtId="3" fontId="10" fillId="4" borderId="40" xfId="0" applyNumberFormat="1" applyFont="1" applyFill="1" applyBorder="1" applyAlignment="1">
      <alignment horizontal="center" vertical="center" wrapText="1"/>
    </xf>
    <xf numFmtId="4" fontId="10" fillId="4" borderId="40" xfId="0" applyNumberFormat="1" applyFont="1" applyFill="1" applyBorder="1" applyAlignment="1">
      <alignment horizontal="right" vertical="center" wrapText="1"/>
    </xf>
    <xf numFmtId="166" fontId="6" fillId="6" borderId="15" xfId="1" applyFont="1" applyFill="1" applyBorder="1" applyAlignment="1">
      <alignment horizontal="center" vertical="center" wrapText="1"/>
    </xf>
    <xf numFmtId="10" fontId="6" fillId="6" borderId="17" xfId="2" applyNumberFormat="1" applyFont="1" applyFill="1" applyBorder="1" applyAlignment="1">
      <alignment horizontal="center" vertical="center"/>
    </xf>
    <xf numFmtId="10" fontId="6" fillId="2" borderId="43" xfId="2" applyNumberFormat="1" applyFont="1" applyFill="1" applyBorder="1" applyAlignment="1">
      <alignment horizontal="center" vertical="center"/>
    </xf>
    <xf numFmtId="4" fontId="4" fillId="2" borderId="25" xfId="0" applyNumberFormat="1" applyFont="1" applyFill="1" applyBorder="1" applyAlignment="1">
      <alignment horizontal="centerContinuous" vertical="center"/>
    </xf>
    <xf numFmtId="4" fontId="6" fillId="0" borderId="0" xfId="0" applyNumberFormat="1" applyFont="1" applyFill="1" applyBorder="1" applyAlignment="1">
      <alignment horizontal="centerContinuous" vertical="center"/>
    </xf>
    <xf numFmtId="10" fontId="6" fillId="4" borderId="28" xfId="2" applyNumberFormat="1" applyFont="1" applyFill="1" applyBorder="1" applyAlignment="1">
      <alignment horizontal="center" vertical="center"/>
    </xf>
    <xf numFmtId="0" fontId="5" fillId="0" borderId="0" xfId="0" applyFont="1" applyFill="1" applyBorder="1" applyAlignment="1">
      <alignment vertical="center"/>
    </xf>
    <xf numFmtId="0" fontId="3" fillId="0" borderId="1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49" xfId="0"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3" borderId="29" xfId="0" applyFont="1" applyFill="1" applyBorder="1" applyAlignment="1">
      <alignment vertical="center" wrapText="1"/>
    </xf>
    <xf numFmtId="0" fontId="3" fillId="0" borderId="11" xfId="0" applyFont="1" applyFill="1" applyBorder="1" applyAlignment="1">
      <alignment horizontal="center" vertical="center" wrapText="1"/>
    </xf>
    <xf numFmtId="0" fontId="13" fillId="0" borderId="29" xfId="0" applyFont="1" applyFill="1" applyBorder="1" applyAlignment="1">
      <alignment vertical="center" wrapText="1"/>
    </xf>
    <xf numFmtId="166" fontId="6" fillId="4" borderId="11" xfId="1" applyFont="1" applyFill="1" applyBorder="1" applyAlignment="1">
      <alignment vertical="center"/>
    </xf>
    <xf numFmtId="10" fontId="6" fillId="4" borderId="2" xfId="2" applyNumberFormat="1" applyFont="1" applyFill="1" applyBorder="1" applyAlignment="1">
      <alignment horizontal="center" vertical="center"/>
    </xf>
    <xf numFmtId="0" fontId="3" fillId="3" borderId="10" xfId="0" applyFont="1" applyFill="1" applyBorder="1" applyAlignment="1">
      <alignment horizontal="left" vertical="center" wrapText="1"/>
    </xf>
    <xf numFmtId="0" fontId="3" fillId="0" borderId="10" xfId="0" applyFont="1" applyFill="1" applyBorder="1" applyAlignment="1">
      <alignment horizontal="left" vertical="center" wrapText="1"/>
    </xf>
    <xf numFmtId="166" fontId="5" fillId="0" borderId="0" xfId="0" applyNumberFormat="1" applyFont="1" applyBorder="1" applyAlignment="1">
      <alignment vertical="center" wrapText="1"/>
    </xf>
    <xf numFmtId="0" fontId="16" fillId="3" borderId="0" xfId="0" applyFont="1" applyFill="1" applyBorder="1" applyAlignment="1">
      <alignment horizontal="center" vertical="center"/>
    </xf>
    <xf numFmtId="0" fontId="0" fillId="0" borderId="0" xfId="0" applyAlignment="1">
      <alignment vertical="center"/>
    </xf>
    <xf numFmtId="0" fontId="15" fillId="7" borderId="39" xfId="0" applyFont="1" applyFill="1" applyBorder="1" applyAlignment="1">
      <alignment horizontal="center" vertical="center" wrapText="1"/>
    </xf>
    <xf numFmtId="0" fontId="15" fillId="7" borderId="45" xfId="0" applyFont="1" applyFill="1" applyBorder="1" applyAlignment="1">
      <alignment horizontal="center" vertical="center" wrapText="1"/>
    </xf>
    <xf numFmtId="0" fontId="0" fillId="0" borderId="9"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horizontal="left" vertical="center" wrapText="1"/>
    </xf>
    <xf numFmtId="0" fontId="3" fillId="3" borderId="1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3" fillId="0" borderId="24" xfId="0" applyFont="1" applyFill="1" applyBorder="1" applyAlignment="1">
      <alignment horizontal="left" vertical="center" wrapText="1"/>
    </xf>
    <xf numFmtId="0" fontId="3" fillId="0" borderId="20" xfId="0" applyFont="1" applyBorder="1" applyAlignment="1">
      <alignment vertical="center" wrapText="1"/>
    </xf>
    <xf numFmtId="0" fontId="10" fillId="3" borderId="23"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28" xfId="0" applyFont="1" applyFill="1" applyBorder="1" applyAlignment="1">
      <alignment horizontal="left" vertical="center" wrapText="1"/>
    </xf>
    <xf numFmtId="0" fontId="0" fillId="0" borderId="13" xfId="0" applyFill="1" applyBorder="1" applyAlignment="1">
      <alignment vertical="center" wrapText="1"/>
    </xf>
    <xf numFmtId="0" fontId="3" fillId="0" borderId="22" xfId="0" applyFont="1" applyBorder="1" applyAlignment="1">
      <alignment vertical="center" wrapText="1"/>
    </xf>
    <xf numFmtId="0" fontId="10" fillId="5"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6" borderId="14" xfId="0" applyFont="1" applyFill="1" applyBorder="1" applyAlignment="1">
      <alignment horizontal="left" vertical="center" wrapText="1"/>
    </xf>
    <xf numFmtId="10" fontId="17" fillId="3" borderId="17" xfId="5" applyNumberFormat="1" applyFont="1" applyFill="1" applyBorder="1" applyAlignment="1">
      <alignment vertical="center" wrapText="1"/>
    </xf>
    <xf numFmtId="0" fontId="6" fillId="0" borderId="38" xfId="0" applyFont="1" applyBorder="1" applyAlignment="1">
      <alignment horizontal="left" vertical="center" wrapText="1"/>
    </xf>
    <xf numFmtId="0" fontId="6" fillId="6" borderId="38" xfId="0" applyFont="1" applyFill="1" applyBorder="1" applyAlignment="1">
      <alignment horizontal="left" vertical="center" wrapText="1"/>
    </xf>
    <xf numFmtId="0" fontId="0" fillId="0" borderId="0" xfId="0" applyAlignment="1">
      <alignmen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0" fontId="0" fillId="0" borderId="11" xfId="0" quotePrefix="1" applyBorder="1" applyAlignment="1">
      <alignment vertical="center" wrapText="1"/>
    </xf>
    <xf numFmtId="0" fontId="0" fillId="0" borderId="20" xfId="0" applyFill="1" applyBorder="1" applyAlignment="1">
      <alignment vertical="center" wrapText="1"/>
    </xf>
    <xf numFmtId="167" fontId="0" fillId="0" borderId="0" xfId="0" applyNumberFormat="1" applyAlignment="1">
      <alignment vertical="center"/>
    </xf>
    <xf numFmtId="0" fontId="0" fillId="0" borderId="11" xfId="0" applyFill="1" applyBorder="1" applyAlignment="1">
      <alignment vertical="center" wrapText="1"/>
    </xf>
    <xf numFmtId="0" fontId="3" fillId="0" borderId="22" xfId="0" applyFont="1" applyFill="1" applyBorder="1" applyAlignment="1">
      <alignment vertical="center" wrapText="1"/>
    </xf>
    <xf numFmtId="0" fontId="6" fillId="0" borderId="0" xfId="0" applyFont="1" applyFill="1" applyBorder="1" applyAlignment="1">
      <alignment vertical="center"/>
    </xf>
    <xf numFmtId="0" fontId="12" fillId="0" borderId="0" xfId="0" applyFont="1" applyFill="1" applyBorder="1" applyAlignment="1">
      <alignment vertical="center"/>
    </xf>
    <xf numFmtId="166" fontId="5" fillId="9" borderId="13" xfId="1" applyFont="1" applyFill="1" applyBorder="1" applyAlignment="1">
      <alignment vertical="center"/>
    </xf>
    <xf numFmtId="166" fontId="6" fillId="9" borderId="13" xfId="1" applyFont="1" applyFill="1" applyBorder="1" applyAlignment="1">
      <alignment vertical="center"/>
    </xf>
    <xf numFmtId="166" fontId="6" fillId="9" borderId="17" xfId="1" applyFont="1" applyFill="1" applyBorder="1" applyAlignment="1">
      <alignment horizontal="center" vertical="center" wrapText="1"/>
    </xf>
    <xf numFmtId="166" fontId="5" fillId="9" borderId="19" xfId="1" applyFont="1" applyFill="1" applyBorder="1" applyAlignment="1">
      <alignment vertical="center"/>
    </xf>
    <xf numFmtId="166" fontId="5" fillId="9" borderId="22" xfId="1" applyFont="1" applyFill="1" applyBorder="1" applyAlignment="1">
      <alignment vertical="center"/>
    </xf>
    <xf numFmtId="4" fontId="6" fillId="9" borderId="17" xfId="0" applyNumberFormat="1" applyFont="1" applyFill="1" applyBorder="1" applyAlignment="1">
      <alignment horizontal="right" vertical="center" wrapText="1"/>
    </xf>
    <xf numFmtId="166" fontId="6" fillId="9" borderId="45" xfId="1" applyFont="1" applyFill="1" applyBorder="1" applyAlignment="1">
      <alignment horizontal="center" vertical="center" wrapText="1"/>
    </xf>
    <xf numFmtId="166" fontId="5" fillId="9" borderId="43" xfId="1" applyFont="1" applyFill="1" applyBorder="1" applyAlignment="1">
      <alignment vertical="center"/>
    </xf>
    <xf numFmtId="4"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4" fontId="6" fillId="9" borderId="34" xfId="0" applyNumberFormat="1" applyFont="1" applyFill="1" applyBorder="1" applyAlignment="1">
      <alignment horizontal="center" vertical="center" wrapText="1"/>
    </xf>
    <xf numFmtId="4" fontId="6" fillId="9" borderId="35" xfId="0" applyNumberFormat="1" applyFont="1" applyFill="1" applyBorder="1" applyAlignment="1">
      <alignment horizontal="center" vertical="center" wrapText="1"/>
    </xf>
    <xf numFmtId="165" fontId="6" fillId="9" borderId="17" xfId="4" applyFont="1" applyFill="1" applyBorder="1" applyAlignment="1">
      <alignment horizontal="center" vertical="center" wrapText="1"/>
    </xf>
    <xf numFmtId="166" fontId="6" fillId="9" borderId="22" xfId="1" applyFont="1" applyFill="1" applyBorder="1" applyAlignment="1">
      <alignment vertical="center"/>
    </xf>
    <xf numFmtId="4" fontId="4" fillId="9" borderId="25" xfId="0" applyNumberFormat="1" applyFont="1" applyFill="1" applyBorder="1" applyAlignment="1">
      <alignment horizontal="centerContinuous" vertical="center" wrapText="1"/>
    </xf>
    <xf numFmtId="4" fontId="4" fillId="9" borderId="30" xfId="0" applyNumberFormat="1" applyFont="1" applyFill="1" applyBorder="1" applyAlignment="1">
      <alignment horizontal="centerContinuous" vertical="center" wrapText="1"/>
    </xf>
    <xf numFmtId="4" fontId="4" fillId="9" borderId="28" xfId="0" applyNumberFormat="1" applyFont="1" applyFill="1" applyBorder="1" applyAlignment="1">
      <alignment horizontal="centerContinuous" vertical="center" wrapText="1"/>
    </xf>
    <xf numFmtId="3" fontId="10" fillId="4" borderId="31" xfId="0" applyNumberFormat="1" applyFont="1" applyFill="1" applyBorder="1" applyAlignment="1">
      <alignment horizontal="center" vertical="center" wrapText="1"/>
    </xf>
    <xf numFmtId="166" fontId="20" fillId="10" borderId="13" xfId="7" applyNumberFormat="1" applyBorder="1" applyAlignment="1">
      <alignment horizontal="right" vertical="center"/>
    </xf>
    <xf numFmtId="166" fontId="20" fillId="10" borderId="22" xfId="7" applyNumberFormat="1" applyBorder="1" applyAlignment="1">
      <alignment vertical="center"/>
    </xf>
    <xf numFmtId="0" fontId="21" fillId="0" borderId="0" xfId="0" applyFont="1" applyFill="1" applyBorder="1" applyAlignment="1">
      <alignment horizontal="center" vertical="center"/>
    </xf>
    <xf numFmtId="0" fontId="3" fillId="0" borderId="18" xfId="0" applyFont="1" applyFill="1" applyBorder="1" applyAlignment="1">
      <alignment horizontal="left" vertical="center" wrapText="1"/>
    </xf>
    <xf numFmtId="0" fontId="5" fillId="0" borderId="18" xfId="0" applyFont="1" applyFill="1" applyBorder="1" applyAlignment="1">
      <alignment horizontal="center" vertical="center" wrapText="1"/>
    </xf>
    <xf numFmtId="166" fontId="6" fillId="4" borderId="18" xfId="1" applyFont="1" applyFill="1" applyBorder="1" applyAlignment="1">
      <alignment vertical="center"/>
    </xf>
    <xf numFmtId="10" fontId="6" fillId="4" borderId="36" xfId="2" applyNumberFormat="1" applyFont="1" applyFill="1" applyBorder="1" applyAlignment="1">
      <alignment horizontal="center" vertical="center"/>
    </xf>
    <xf numFmtId="0" fontId="3" fillId="0" borderId="20" xfId="0" applyFont="1" applyFill="1" applyBorder="1" applyAlignment="1">
      <alignment horizontal="left" vertical="center" wrapText="1"/>
    </xf>
    <xf numFmtId="166" fontId="6" fillId="4" borderId="20" xfId="1" applyFont="1" applyFill="1" applyBorder="1" applyAlignment="1">
      <alignment vertical="center"/>
    </xf>
    <xf numFmtId="10" fontId="6" fillId="4" borderId="52" xfId="2" applyNumberFormat="1" applyFont="1" applyFill="1" applyBorder="1" applyAlignment="1">
      <alignment horizontal="center" vertical="center"/>
    </xf>
    <xf numFmtId="0" fontId="9" fillId="3" borderId="24" xfId="0" applyFont="1" applyFill="1" applyBorder="1" applyAlignment="1">
      <alignment horizontal="left" vertical="center" wrapText="1"/>
    </xf>
    <xf numFmtId="166" fontId="6" fillId="11" borderId="11" xfId="1" applyFont="1" applyFill="1" applyBorder="1" applyAlignment="1">
      <alignment vertical="center"/>
    </xf>
    <xf numFmtId="10" fontId="6" fillId="11" borderId="2" xfId="2" applyNumberFormat="1" applyFont="1" applyFill="1" applyBorder="1" applyAlignment="1">
      <alignment horizontal="center" vertical="center"/>
    </xf>
    <xf numFmtId="0" fontId="9" fillId="0" borderId="11" xfId="0"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4" fontId="9" fillId="0" borderId="12" xfId="0" applyNumberFormat="1" applyFont="1" applyFill="1" applyBorder="1" applyAlignment="1">
      <alignment horizontal="right" vertical="center" wrapText="1"/>
    </xf>
    <xf numFmtId="166" fontId="9" fillId="2" borderId="1" xfId="1" applyFont="1" applyFill="1" applyBorder="1" applyAlignment="1">
      <alignment vertical="center"/>
    </xf>
    <xf numFmtId="166" fontId="9" fillId="9" borderId="13" xfId="1" applyFont="1" applyFill="1" applyBorder="1" applyAlignment="1">
      <alignment vertical="center"/>
    </xf>
    <xf numFmtId="3" fontId="9" fillId="3" borderId="12" xfId="0" applyNumberFormat="1" applyFont="1" applyFill="1" applyBorder="1" applyAlignment="1">
      <alignment horizontal="center" vertical="center" wrapText="1"/>
    </xf>
    <xf numFmtId="166" fontId="10" fillId="2" borderId="11" xfId="1" applyFont="1" applyFill="1" applyBorder="1" applyAlignment="1">
      <alignment vertical="center"/>
    </xf>
    <xf numFmtId="10" fontId="10" fillId="2" borderId="2" xfId="2" applyNumberFormat="1" applyFont="1" applyFill="1" applyBorder="1" applyAlignment="1">
      <alignment horizontal="center" vertical="center"/>
    </xf>
    <xf numFmtId="166" fontId="10" fillId="9" borderId="13" xfId="1" applyFont="1" applyFill="1" applyBorder="1" applyAlignment="1">
      <alignment vertical="center"/>
    </xf>
    <xf numFmtId="166" fontId="22" fillId="10" borderId="13" xfId="7" applyNumberFormat="1" applyFont="1" applyBorder="1" applyAlignment="1">
      <alignment vertical="center"/>
    </xf>
    <xf numFmtId="0" fontId="9" fillId="3" borderId="11" xfId="0" applyFont="1" applyFill="1" applyBorder="1" applyAlignment="1">
      <alignment horizontal="center" vertical="center" wrapText="1"/>
    </xf>
    <xf numFmtId="4" fontId="9" fillId="3" borderId="12" xfId="0" applyNumberFormat="1" applyFont="1" applyFill="1" applyBorder="1" applyAlignment="1">
      <alignment horizontal="right" vertical="center" wrapText="1"/>
    </xf>
    <xf numFmtId="166" fontId="9" fillId="4" borderId="1" xfId="1" applyFont="1" applyFill="1" applyBorder="1" applyAlignment="1">
      <alignment vertical="center"/>
    </xf>
    <xf numFmtId="166" fontId="10" fillId="4" borderId="11" xfId="1" applyFont="1" applyFill="1" applyBorder="1" applyAlignment="1">
      <alignment vertical="center"/>
    </xf>
    <xf numFmtId="10" fontId="10" fillId="4" borderId="2" xfId="2" applyNumberFormat="1" applyFont="1" applyFill="1" applyBorder="1" applyAlignment="1">
      <alignment horizontal="center" vertical="center"/>
    </xf>
    <xf numFmtId="0" fontId="10" fillId="12" borderId="10" xfId="0" applyFont="1" applyFill="1" applyBorder="1" applyAlignment="1">
      <alignment horizontal="left" vertical="center" wrapText="1"/>
    </xf>
    <xf numFmtId="0" fontId="5" fillId="12" borderId="11" xfId="0" applyFont="1" applyFill="1" applyBorder="1" applyAlignment="1">
      <alignment horizontal="center" vertical="center" wrapText="1"/>
    </xf>
    <xf numFmtId="3" fontId="5" fillId="12" borderId="12" xfId="0" applyNumberFormat="1" applyFont="1" applyFill="1" applyBorder="1" applyAlignment="1">
      <alignment horizontal="center" vertical="center" wrapText="1"/>
    </xf>
    <xf numFmtId="4" fontId="5" fillId="12" borderId="12" xfId="0" applyNumberFormat="1" applyFont="1" applyFill="1" applyBorder="1" applyAlignment="1">
      <alignment horizontal="right" vertical="center" wrapText="1"/>
    </xf>
    <xf numFmtId="166" fontId="6" fillId="12" borderId="11" xfId="1" applyFont="1" applyFill="1" applyBorder="1" applyAlignment="1">
      <alignment vertical="center"/>
    </xf>
    <xf numFmtId="10" fontId="6" fillId="12" borderId="2" xfId="2" applyNumberFormat="1" applyFont="1" applyFill="1" applyBorder="1" applyAlignment="1">
      <alignment horizontal="center" vertical="center"/>
    </xf>
    <xf numFmtId="166" fontId="5" fillId="12" borderId="13" xfId="1" applyFont="1" applyFill="1" applyBorder="1" applyAlignment="1">
      <alignment vertical="center"/>
    </xf>
    <xf numFmtId="166" fontId="6" fillId="12" borderId="13" xfId="1" applyFont="1" applyFill="1" applyBorder="1" applyAlignment="1">
      <alignment vertical="center"/>
    </xf>
    <xf numFmtId="0" fontId="9" fillId="12" borderId="10"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9" fillId="12" borderId="11" xfId="0" applyFont="1" applyFill="1" applyBorder="1" applyAlignment="1">
      <alignment horizontal="center" vertical="center" wrapText="1"/>
    </xf>
    <xf numFmtId="3" fontId="9" fillId="12" borderId="12" xfId="0" applyNumberFormat="1" applyFont="1" applyFill="1" applyBorder="1" applyAlignment="1">
      <alignment horizontal="center" vertical="center" wrapText="1"/>
    </xf>
    <xf numFmtId="4" fontId="9" fillId="12" borderId="12" xfId="0" applyNumberFormat="1" applyFont="1" applyFill="1" applyBorder="1" applyAlignment="1">
      <alignment horizontal="right" vertical="center" wrapText="1"/>
    </xf>
    <xf numFmtId="166" fontId="9" fillId="12" borderId="1" xfId="1" applyFont="1" applyFill="1" applyBorder="1" applyAlignment="1">
      <alignment vertical="center"/>
    </xf>
    <xf numFmtId="166" fontId="9" fillId="12" borderId="13" xfId="1" applyFont="1" applyFill="1" applyBorder="1" applyAlignment="1">
      <alignment vertical="center"/>
    </xf>
    <xf numFmtId="0" fontId="23" fillId="12" borderId="11" xfId="0" applyFont="1" applyFill="1" applyBorder="1" applyAlignment="1">
      <alignment horizontal="center" vertical="center" wrapText="1"/>
    </xf>
    <xf numFmtId="4" fontId="23" fillId="12" borderId="12" xfId="0" applyNumberFormat="1" applyFont="1" applyFill="1" applyBorder="1" applyAlignment="1">
      <alignment horizontal="right" vertical="center" wrapText="1"/>
    </xf>
    <xf numFmtId="166" fontId="23" fillId="12" borderId="13" xfId="1" applyFont="1" applyFill="1" applyBorder="1" applyAlignment="1">
      <alignment vertical="center"/>
    </xf>
    <xf numFmtId="166" fontId="24" fillId="12" borderId="13" xfId="1" applyFont="1" applyFill="1" applyBorder="1" applyAlignment="1">
      <alignment vertical="center"/>
    </xf>
    <xf numFmtId="166" fontId="9" fillId="12" borderId="11" xfId="1" applyFont="1" applyFill="1" applyBorder="1" applyAlignment="1">
      <alignment vertical="center"/>
    </xf>
    <xf numFmtId="10" fontId="9" fillId="12" borderId="2" xfId="2" applyNumberFormat="1" applyFont="1" applyFill="1" applyBorder="1" applyAlignment="1">
      <alignment horizontal="center" vertical="center"/>
    </xf>
    <xf numFmtId="166" fontId="5" fillId="3" borderId="22" xfId="1" applyFont="1" applyFill="1" applyBorder="1" applyAlignment="1">
      <alignment vertical="center"/>
    </xf>
    <xf numFmtId="0" fontId="6" fillId="12" borderId="11" xfId="0" applyFont="1" applyFill="1" applyBorder="1" applyAlignment="1">
      <alignment horizontal="left" vertical="center" wrapText="1"/>
    </xf>
    <xf numFmtId="0" fontId="25" fillId="12" borderId="18" xfId="0" applyFont="1" applyFill="1" applyBorder="1" applyAlignment="1">
      <alignment horizontal="center" vertical="center" wrapText="1"/>
    </xf>
    <xf numFmtId="3" fontId="25" fillId="12" borderId="6" xfId="0" applyNumberFormat="1" applyFont="1" applyFill="1" applyBorder="1" applyAlignment="1">
      <alignment horizontal="center" vertical="center" wrapText="1"/>
    </xf>
    <xf numFmtId="166" fontId="26" fillId="12" borderId="19" xfId="1" applyFont="1" applyFill="1" applyBorder="1" applyAlignment="1">
      <alignment vertical="center"/>
    </xf>
    <xf numFmtId="166" fontId="26" fillId="12" borderId="5" xfId="1" applyFont="1" applyFill="1" applyBorder="1" applyAlignment="1">
      <alignment vertical="center"/>
    </xf>
    <xf numFmtId="3" fontId="24" fillId="4" borderId="16" xfId="0" applyNumberFormat="1" applyFont="1" applyFill="1" applyBorder="1" applyAlignment="1">
      <alignment horizontal="center" vertical="center" wrapText="1"/>
    </xf>
    <xf numFmtId="4" fontId="24" fillId="4" borderId="16" xfId="0" applyNumberFormat="1" applyFont="1" applyFill="1" applyBorder="1" applyAlignment="1">
      <alignment horizontal="right" vertical="center" wrapText="1"/>
    </xf>
    <xf numFmtId="0" fontId="24" fillId="4" borderId="15" xfId="0" applyFont="1" applyFill="1" applyBorder="1" applyAlignment="1">
      <alignment horizontal="center" vertical="center" wrapText="1"/>
    </xf>
    <xf numFmtId="166" fontId="25" fillId="4" borderId="17" xfId="1" applyFont="1" applyFill="1" applyBorder="1" applyAlignment="1">
      <alignment horizontal="center" vertical="center" wrapText="1"/>
    </xf>
    <xf numFmtId="0" fontId="3" fillId="0" borderId="0" xfId="0" applyFont="1" applyBorder="1" applyAlignment="1">
      <alignment vertical="center"/>
    </xf>
    <xf numFmtId="0" fontId="10" fillId="11" borderId="10" xfId="0" applyFont="1" applyFill="1" applyBorder="1" applyAlignment="1">
      <alignment horizontal="left" vertical="center" wrapText="1"/>
    </xf>
    <xf numFmtId="0" fontId="5" fillId="11" borderId="11" xfId="0" applyFont="1" applyFill="1" applyBorder="1" applyAlignment="1">
      <alignment horizontal="center" vertical="center" wrapText="1"/>
    </xf>
    <xf numFmtId="3" fontId="5" fillId="11" borderId="12" xfId="0" applyNumberFormat="1" applyFont="1" applyFill="1" applyBorder="1" applyAlignment="1">
      <alignment horizontal="center" vertical="center" wrapText="1"/>
    </xf>
    <xf numFmtId="4" fontId="5" fillId="11" borderId="12" xfId="0" applyNumberFormat="1" applyFont="1" applyFill="1" applyBorder="1" applyAlignment="1">
      <alignment horizontal="right" vertical="center" wrapText="1"/>
    </xf>
    <xf numFmtId="166" fontId="5" fillId="11" borderId="13" xfId="1" applyFont="1" applyFill="1" applyBorder="1" applyAlignment="1">
      <alignment vertical="center"/>
    </xf>
    <xf numFmtId="4" fontId="6" fillId="2" borderId="9" xfId="0" applyNumberFormat="1" applyFont="1" applyFill="1" applyBorder="1" applyAlignment="1">
      <alignment horizontal="center" vertical="center" wrapText="1"/>
    </xf>
    <xf numFmtId="4" fontId="6" fillId="2" borderId="33"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6" fillId="2" borderId="33" xfId="0" applyNumberFormat="1" applyFont="1" applyFill="1" applyBorder="1" applyAlignment="1">
      <alignment horizontal="center" vertical="center" wrapText="1"/>
    </xf>
    <xf numFmtId="166" fontId="3" fillId="4" borderId="1" xfId="1" applyFont="1" applyFill="1" applyBorder="1" applyAlignment="1">
      <alignment vertical="center"/>
    </xf>
    <xf numFmtId="166" fontId="3" fillId="2" borderId="7" xfId="1" applyFont="1" applyFill="1" applyBorder="1" applyAlignment="1">
      <alignment vertical="center"/>
    </xf>
    <xf numFmtId="4" fontId="3" fillId="0" borderId="12" xfId="0" applyNumberFormat="1" applyFont="1" applyFill="1" applyBorder="1" applyAlignment="1">
      <alignment horizontal="right" vertical="center" wrapText="1"/>
    </xf>
    <xf numFmtId="166" fontId="3" fillId="2" borderId="1" xfId="1" applyFont="1" applyFill="1" applyBorder="1" applyAlignment="1">
      <alignment vertical="center"/>
    </xf>
    <xf numFmtId="0" fontId="3" fillId="3" borderId="20" xfId="0" applyFont="1" applyFill="1" applyBorder="1" applyAlignment="1">
      <alignment horizontal="center" vertical="center" wrapText="1"/>
    </xf>
    <xf numFmtId="3" fontId="3" fillId="3" borderId="21" xfId="0" applyNumberFormat="1" applyFont="1" applyFill="1" applyBorder="1" applyAlignment="1">
      <alignment horizontal="center" vertical="center" wrapText="1"/>
    </xf>
    <xf numFmtId="4" fontId="3" fillId="3" borderId="21" xfId="0" applyNumberFormat="1" applyFont="1" applyFill="1" applyBorder="1" applyAlignment="1">
      <alignment horizontal="right" vertical="center" wrapText="1"/>
    </xf>
    <xf numFmtId="3" fontId="27" fillId="12" borderId="12" xfId="6"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right" vertical="center" wrapText="1"/>
    </xf>
    <xf numFmtId="166" fontId="3" fillId="4" borderId="7" xfId="1" applyFont="1" applyFill="1" applyBorder="1" applyAlignment="1">
      <alignment vertical="center"/>
    </xf>
    <xf numFmtId="0" fontId="3" fillId="0" borderId="20" xfId="0" applyFont="1" applyFill="1" applyBorder="1" applyAlignment="1">
      <alignment horizontal="center" vertical="center" wrapText="1"/>
    </xf>
    <xf numFmtId="3" fontId="3" fillId="0" borderId="21" xfId="0" applyNumberFormat="1" applyFont="1" applyFill="1" applyBorder="1" applyAlignment="1">
      <alignment horizontal="center" vertical="center" wrapText="1"/>
    </xf>
    <xf numFmtId="4" fontId="3" fillId="0" borderId="21" xfId="0" applyNumberFormat="1" applyFont="1" applyFill="1" applyBorder="1" applyAlignment="1">
      <alignment horizontal="right" vertical="center" wrapText="1"/>
    </xf>
    <xf numFmtId="166" fontId="3" fillId="4" borderId="32" xfId="1" applyFont="1" applyFill="1" applyBorder="1" applyAlignment="1">
      <alignment vertical="center"/>
    </xf>
    <xf numFmtId="166" fontId="10" fillId="12" borderId="11" xfId="1" applyFont="1" applyFill="1" applyBorder="1" applyAlignment="1">
      <alignment vertical="center"/>
    </xf>
    <xf numFmtId="10" fontId="10" fillId="12" borderId="2" xfId="2" applyNumberFormat="1" applyFont="1" applyFill="1" applyBorder="1" applyAlignment="1">
      <alignment horizontal="center" vertical="center"/>
    </xf>
    <xf numFmtId="3" fontId="3" fillId="3" borderId="6" xfId="0" applyNumberFormat="1" applyFont="1" applyFill="1" applyBorder="1" applyAlignment="1">
      <alignment horizontal="center" vertical="center" wrapText="1"/>
    </xf>
    <xf numFmtId="3" fontId="3" fillId="3" borderId="12" xfId="0" applyNumberFormat="1" applyFont="1" applyFill="1" applyBorder="1" applyAlignment="1">
      <alignment horizontal="center" vertical="center" wrapText="1"/>
    </xf>
    <xf numFmtId="0" fontId="3" fillId="12" borderId="11" xfId="0" applyFont="1" applyFill="1" applyBorder="1" applyAlignment="1">
      <alignment horizontal="center" vertical="center" wrapText="1"/>
    </xf>
    <xf numFmtId="3" fontId="3" fillId="12" borderId="12" xfId="0" applyNumberFormat="1" applyFont="1" applyFill="1" applyBorder="1" applyAlignment="1">
      <alignment horizontal="center" vertical="center" wrapText="1"/>
    </xf>
    <xf numFmtId="4" fontId="3" fillId="12" borderId="12" xfId="0" applyNumberFormat="1" applyFont="1" applyFill="1" applyBorder="1" applyAlignment="1">
      <alignment horizontal="right" vertical="center" wrapText="1"/>
    </xf>
    <xf numFmtId="166" fontId="3" fillId="12" borderId="1" xfId="1" applyFont="1" applyFill="1" applyBorder="1" applyAlignment="1">
      <alignment vertical="center"/>
    </xf>
    <xf numFmtId="0" fontId="6" fillId="12" borderId="23" xfId="0" applyFont="1" applyFill="1" applyBorder="1" applyAlignment="1">
      <alignment horizontal="left" vertical="center" wrapText="1"/>
    </xf>
    <xf numFmtId="0" fontId="6" fillId="12" borderId="18" xfId="0" applyFont="1" applyFill="1" applyBorder="1" applyAlignment="1">
      <alignment horizontal="center" vertical="center" wrapText="1"/>
    </xf>
    <xf numFmtId="3" fontId="6" fillId="12" borderId="6" xfId="0" applyNumberFormat="1" applyFont="1" applyFill="1" applyBorder="1" applyAlignment="1">
      <alignment horizontal="center" vertical="center" wrapText="1"/>
    </xf>
    <xf numFmtId="4" fontId="6" fillId="12" borderId="6" xfId="0" applyNumberFormat="1" applyFont="1" applyFill="1" applyBorder="1" applyAlignment="1">
      <alignment horizontal="right" vertical="center" wrapText="1"/>
    </xf>
    <xf numFmtId="166" fontId="3" fillId="12" borderId="7" xfId="1" applyFont="1" applyFill="1" applyBorder="1" applyAlignment="1">
      <alignment vertical="center"/>
    </xf>
    <xf numFmtId="166" fontId="6" fillId="12" borderId="18" xfId="1" applyFont="1" applyFill="1" applyBorder="1" applyAlignment="1">
      <alignment vertical="center"/>
    </xf>
    <xf numFmtId="10" fontId="6" fillId="12" borderId="36" xfId="2" applyNumberFormat="1" applyFont="1" applyFill="1" applyBorder="1" applyAlignment="1">
      <alignment horizontal="center" vertical="center"/>
    </xf>
    <xf numFmtId="4" fontId="3" fillId="3" borderId="12" xfId="0" applyNumberFormat="1" applyFont="1" applyFill="1" applyBorder="1" applyAlignment="1">
      <alignment horizontal="right" vertical="center" wrapText="1"/>
    </xf>
    <xf numFmtId="166" fontId="6" fillId="4" borderId="15" xfId="1" applyFont="1" applyFill="1" applyBorder="1" applyAlignment="1">
      <alignment vertical="center"/>
    </xf>
    <xf numFmtId="0" fontId="3" fillId="0" borderId="18" xfId="0" applyFont="1" applyBorder="1" applyAlignment="1">
      <alignment horizontal="center" vertical="center" wrapText="1"/>
    </xf>
    <xf numFmtId="3" fontId="3" fillId="0" borderId="8" xfId="0" applyNumberFormat="1" applyFont="1" applyBorder="1" applyAlignment="1">
      <alignment horizontal="center" vertical="center" wrapText="1"/>
    </xf>
    <xf numFmtId="4" fontId="3" fillId="0" borderId="6" xfId="0" applyNumberFormat="1" applyFont="1" applyBorder="1" applyAlignment="1">
      <alignment horizontal="right" vertical="center" wrapText="1"/>
    </xf>
    <xf numFmtId="0" fontId="3" fillId="3" borderId="27" xfId="0"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4" fontId="3" fillId="3" borderId="3" xfId="0" applyNumberFormat="1" applyFont="1" applyFill="1" applyBorder="1" applyAlignment="1">
      <alignment horizontal="right" vertical="center" wrapText="1"/>
    </xf>
    <xf numFmtId="0" fontId="15" fillId="3" borderId="29" xfId="0" applyFont="1" applyFill="1" applyBorder="1" applyAlignment="1">
      <alignment vertical="center" wrapText="1"/>
    </xf>
    <xf numFmtId="0" fontId="17" fillId="3" borderId="29" xfId="0" applyFont="1" applyFill="1" applyBorder="1" applyAlignment="1">
      <alignment vertical="center" wrapText="1"/>
    </xf>
    <xf numFmtId="0" fontId="15" fillId="0" borderId="29" xfId="0" applyFont="1" applyFill="1" applyBorder="1" applyAlignment="1">
      <alignment vertical="center" wrapText="1"/>
    </xf>
    <xf numFmtId="0" fontId="17" fillId="0" borderId="29" xfId="0" applyFont="1" applyFill="1" applyBorder="1" applyAlignment="1">
      <alignment vertical="center" wrapText="1"/>
    </xf>
    <xf numFmtId="0" fontId="15" fillId="0" borderId="12" xfId="0" applyFont="1" applyFill="1" applyBorder="1" applyAlignment="1">
      <alignment vertical="center" wrapText="1"/>
    </xf>
    <xf numFmtId="166" fontId="3" fillId="2" borderId="48" xfId="1" applyFont="1" applyFill="1" applyBorder="1" applyAlignment="1">
      <alignment vertical="center"/>
    </xf>
    <xf numFmtId="0" fontId="3" fillId="11" borderId="11" xfId="0" applyFont="1" applyFill="1" applyBorder="1" applyAlignment="1">
      <alignment horizontal="center" vertical="center" wrapText="1"/>
    </xf>
    <xf numFmtId="3" fontId="3" fillId="11" borderId="12" xfId="0" applyNumberFormat="1" applyFont="1" applyFill="1" applyBorder="1" applyAlignment="1">
      <alignment horizontal="center" vertical="center" wrapText="1"/>
    </xf>
    <xf numFmtId="4" fontId="3" fillId="11" borderId="12" xfId="0" applyNumberFormat="1" applyFont="1" applyFill="1" applyBorder="1" applyAlignment="1">
      <alignment horizontal="right" vertical="center" wrapText="1"/>
    </xf>
    <xf numFmtId="166" fontId="3" fillId="11" borderId="1" xfId="1" applyFont="1" applyFill="1" applyBorder="1" applyAlignment="1">
      <alignment vertical="center"/>
    </xf>
    <xf numFmtId="0" fontId="3" fillId="3" borderId="29" xfId="0" applyFont="1" applyFill="1" applyBorder="1" applyAlignment="1">
      <alignment horizontal="center" vertical="center" wrapText="1"/>
    </xf>
    <xf numFmtId="4" fontId="3" fillId="3" borderId="3" xfId="0" applyNumberFormat="1" applyFont="1" applyFill="1" applyBorder="1" applyAlignment="1">
      <alignment vertical="center" wrapText="1"/>
    </xf>
    <xf numFmtId="0" fontId="3" fillId="0" borderId="15" xfId="0" applyFont="1" applyBorder="1" applyAlignment="1">
      <alignment horizontal="center" vertical="center" wrapText="1"/>
    </xf>
    <xf numFmtId="3" fontId="3" fillId="3" borderId="16" xfId="0" applyNumberFormat="1" applyFont="1" applyFill="1" applyBorder="1" applyAlignment="1">
      <alignment horizontal="center" vertical="center" wrapText="1"/>
    </xf>
    <xf numFmtId="4" fontId="3" fillId="3" borderId="16" xfId="0" applyNumberFormat="1" applyFont="1" applyFill="1" applyBorder="1" applyAlignment="1">
      <alignment horizontal="right" vertical="center" wrapText="1"/>
    </xf>
    <xf numFmtId="0" fontId="3" fillId="0" borderId="39" xfId="0" applyFont="1" applyBorder="1" applyAlignment="1">
      <alignment horizontal="center" vertical="center" wrapText="1"/>
    </xf>
    <xf numFmtId="3" fontId="3" fillId="0" borderId="40" xfId="0" applyNumberFormat="1" applyFont="1" applyBorder="1" applyAlignment="1">
      <alignment horizontal="center" vertical="center" wrapText="1"/>
    </xf>
    <xf numFmtId="4" fontId="3" fillId="0" borderId="40" xfId="0" applyNumberFormat="1" applyFont="1" applyBorder="1" applyAlignment="1">
      <alignment horizontal="right" vertical="center" wrapText="1"/>
    </xf>
    <xf numFmtId="166" fontId="3" fillId="2" borderId="32" xfId="1" applyFont="1" applyFill="1" applyBorder="1" applyAlignment="1">
      <alignment vertical="center"/>
    </xf>
    <xf numFmtId="3" fontId="3" fillId="0" borderId="3" xfId="0" applyNumberFormat="1" applyFont="1" applyBorder="1" applyAlignment="1">
      <alignment horizontal="center" vertical="center" wrapText="1"/>
    </xf>
    <xf numFmtId="4" fontId="3" fillId="0" borderId="3" xfId="0" applyNumberFormat="1" applyFont="1" applyBorder="1" applyAlignment="1">
      <alignment horizontal="right" vertical="center" wrapText="1"/>
    </xf>
    <xf numFmtId="166" fontId="5" fillId="0" borderId="5" xfId="1" applyFont="1" applyFill="1" applyBorder="1" applyAlignment="1">
      <alignment vertical="center"/>
    </xf>
    <xf numFmtId="166" fontId="5" fillId="0" borderId="13" xfId="1" applyFont="1" applyFill="1" applyBorder="1" applyAlignment="1">
      <alignment vertical="center"/>
    </xf>
    <xf numFmtId="4" fontId="4" fillId="9" borderId="14" xfId="0" applyNumberFormat="1" applyFont="1" applyFill="1" applyBorder="1" applyAlignment="1">
      <alignment horizontal="centerContinuous" vertical="center" wrapText="1"/>
    </xf>
    <xf numFmtId="0" fontId="5" fillId="0" borderId="29" xfId="0" applyFont="1" applyBorder="1" applyAlignment="1">
      <alignment vertical="center"/>
    </xf>
    <xf numFmtId="0" fontId="5" fillId="0" borderId="53" xfId="0" applyFont="1" applyFill="1" applyBorder="1" applyAlignment="1">
      <alignment vertical="center"/>
    </xf>
    <xf numFmtId="4" fontId="6" fillId="9" borderId="9" xfId="0" applyNumberFormat="1" applyFont="1" applyFill="1" applyBorder="1" applyAlignment="1">
      <alignment horizontal="center" vertical="center" wrapText="1"/>
    </xf>
    <xf numFmtId="4" fontId="6" fillId="9" borderId="33" xfId="0" applyNumberFormat="1" applyFont="1" applyFill="1" applyBorder="1" applyAlignment="1">
      <alignment horizontal="center" vertical="center" wrapText="1"/>
    </xf>
    <xf numFmtId="164" fontId="20" fillId="10" borderId="19" xfId="7" applyNumberFormat="1" applyBorder="1" applyAlignment="1">
      <alignment vertical="center"/>
    </xf>
    <xf numFmtId="164" fontId="20" fillId="10" borderId="13" xfId="7" applyNumberFormat="1" applyBorder="1" applyAlignment="1">
      <alignment horizontal="right" vertical="center"/>
    </xf>
    <xf numFmtId="164" fontId="20" fillId="10" borderId="22" xfId="7" applyNumberFormat="1" applyBorder="1" applyAlignment="1">
      <alignment horizontal="right" vertical="center"/>
    </xf>
    <xf numFmtId="166" fontId="20" fillId="10" borderId="19" xfId="7" applyNumberFormat="1" applyBorder="1" applyAlignment="1">
      <alignment horizontal="right" vertical="center"/>
    </xf>
    <xf numFmtId="4" fontId="20" fillId="10" borderId="13" xfId="7" applyNumberFormat="1" applyBorder="1" applyAlignment="1">
      <alignment horizontal="center" vertical="center" wrapText="1"/>
    </xf>
    <xf numFmtId="3" fontId="20" fillId="10" borderId="13" xfId="7" applyNumberFormat="1" applyBorder="1" applyAlignment="1">
      <alignment horizontal="center" vertical="center" wrapText="1"/>
    </xf>
    <xf numFmtId="4" fontId="20" fillId="10" borderId="13" xfId="7" applyNumberFormat="1" applyBorder="1" applyAlignment="1">
      <alignment horizontal="right" vertical="center" wrapText="1"/>
    </xf>
    <xf numFmtId="0" fontId="10" fillId="6" borderId="15" xfId="0" applyFont="1" applyFill="1" applyBorder="1" applyAlignment="1">
      <alignment horizontal="center" vertical="center" wrapText="1"/>
    </xf>
    <xf numFmtId="0" fontId="5" fillId="0" borderId="27" xfId="0" applyFont="1" applyBorder="1" applyAlignment="1">
      <alignment horizontal="center" vertical="center" wrapText="1"/>
    </xf>
    <xf numFmtId="3" fontId="20" fillId="10" borderId="13" xfId="7" applyNumberFormat="1" applyBorder="1" applyAlignment="1">
      <alignment horizontal="right" vertical="center" wrapText="1"/>
    </xf>
    <xf numFmtId="166" fontId="5" fillId="9" borderId="13" xfId="1" applyFont="1" applyFill="1" applyBorder="1" applyAlignment="1">
      <alignment horizontal="right" vertical="center"/>
    </xf>
    <xf numFmtId="166" fontId="9" fillId="2" borderId="13" xfId="1" applyFont="1" applyFill="1" applyBorder="1" applyAlignment="1">
      <alignment vertical="center"/>
    </xf>
    <xf numFmtId="3" fontId="5" fillId="0" borderId="0" xfId="0" applyNumberFormat="1" applyFont="1" applyBorder="1" applyAlignment="1">
      <alignment vertical="center"/>
    </xf>
    <xf numFmtId="168" fontId="5" fillId="0" borderId="0" xfId="0" applyNumberFormat="1" applyFont="1" applyBorder="1" applyAlignment="1">
      <alignment vertical="center"/>
    </xf>
    <xf numFmtId="0" fontId="6" fillId="2" borderId="5" xfId="0" applyFont="1" applyFill="1" applyBorder="1" applyAlignment="1">
      <alignment horizontal="center" vertical="center" wrapText="1"/>
    </xf>
    <xf numFmtId="4" fontId="6" fillId="2" borderId="35" xfId="0" applyNumberFormat="1" applyFont="1" applyFill="1" applyBorder="1" applyAlignment="1">
      <alignment horizontal="center" vertical="center" wrapText="1"/>
    </xf>
    <xf numFmtId="166" fontId="3" fillId="2" borderId="5" xfId="1" applyFont="1" applyFill="1" applyBorder="1" applyAlignment="1">
      <alignment vertical="center"/>
    </xf>
    <xf numFmtId="166" fontId="3" fillId="2" borderId="13" xfId="1" applyFont="1" applyFill="1" applyBorder="1" applyAlignment="1">
      <alignment vertical="center"/>
    </xf>
    <xf numFmtId="166" fontId="3" fillId="4" borderId="22" xfId="1" applyFont="1" applyFill="1" applyBorder="1" applyAlignment="1">
      <alignment vertical="center"/>
    </xf>
    <xf numFmtId="166" fontId="3" fillId="2" borderId="19" xfId="1" applyFont="1" applyFill="1" applyBorder="1" applyAlignment="1">
      <alignment vertical="center"/>
    </xf>
    <xf numFmtId="166" fontId="3" fillId="2" borderId="22" xfId="1" applyFont="1" applyFill="1" applyBorder="1" applyAlignment="1">
      <alignment vertical="center"/>
    </xf>
    <xf numFmtId="166" fontId="3" fillId="12" borderId="13" xfId="1" applyFont="1" applyFill="1" applyBorder="1" applyAlignment="1">
      <alignment vertical="center"/>
    </xf>
    <xf numFmtId="166" fontId="3" fillId="4" borderId="13" xfId="1" applyFont="1" applyFill="1" applyBorder="1" applyAlignment="1">
      <alignment vertical="center"/>
    </xf>
    <xf numFmtId="166" fontId="9" fillId="4" borderId="13" xfId="1" applyFont="1" applyFill="1" applyBorder="1" applyAlignment="1">
      <alignment vertical="center"/>
    </xf>
    <xf numFmtId="166" fontId="6" fillId="2" borderId="17" xfId="1" applyFont="1" applyFill="1" applyBorder="1" applyAlignment="1">
      <alignment vertical="center"/>
    </xf>
    <xf numFmtId="166" fontId="3" fillId="12" borderId="19" xfId="1" applyFont="1" applyFill="1" applyBorder="1" applyAlignment="1">
      <alignment vertical="center"/>
    </xf>
    <xf numFmtId="166" fontId="6" fillId="4" borderId="17" xfId="1" applyFont="1" applyFill="1" applyBorder="1" applyAlignment="1">
      <alignment horizontal="center" vertical="center" wrapText="1"/>
    </xf>
    <xf numFmtId="4" fontId="6" fillId="5" borderId="17" xfId="0" applyNumberFormat="1" applyFont="1" applyFill="1" applyBorder="1" applyAlignment="1">
      <alignment horizontal="right" vertical="center" wrapText="1"/>
    </xf>
    <xf numFmtId="166" fontId="3" fillId="11" borderId="13" xfId="1" applyFont="1" applyFill="1" applyBorder="1" applyAlignment="1">
      <alignment vertical="center"/>
    </xf>
    <xf numFmtId="166" fontId="6" fillId="4" borderId="45" xfId="1" applyFont="1" applyFill="1" applyBorder="1" applyAlignment="1">
      <alignment horizontal="center" vertical="center" wrapText="1"/>
    </xf>
    <xf numFmtId="166" fontId="6" fillId="6" borderId="17" xfId="1" applyFont="1" applyFill="1" applyBorder="1" applyAlignment="1">
      <alignment horizontal="center" vertical="center" wrapText="1"/>
    </xf>
    <xf numFmtId="166" fontId="3" fillId="2" borderId="43" xfId="1" applyFont="1" applyFill="1" applyBorder="1" applyAlignment="1">
      <alignment vertical="center"/>
    </xf>
    <xf numFmtId="0" fontId="3" fillId="0" borderId="27" xfId="0" applyFont="1" applyBorder="1" applyAlignment="1">
      <alignment horizontal="center" vertical="center" wrapText="1"/>
    </xf>
    <xf numFmtId="0" fontId="0" fillId="0" borderId="0" xfId="0" quotePrefix="1" applyAlignment="1">
      <alignment vertical="center"/>
    </xf>
    <xf numFmtId="0" fontId="6" fillId="9" borderId="37" xfId="0" applyFont="1" applyFill="1" applyBorder="1" applyAlignment="1">
      <alignment horizontal="center" vertical="center" wrapText="1"/>
    </xf>
    <xf numFmtId="0" fontId="6" fillId="9" borderId="38" xfId="0"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6" fillId="2" borderId="33" xfId="0" applyNumberFormat="1" applyFont="1" applyFill="1" applyBorder="1" applyAlignment="1">
      <alignment horizontal="center" vertical="center" wrapText="1"/>
    </xf>
    <xf numFmtId="4" fontId="4" fillId="2" borderId="25" xfId="0" applyNumberFormat="1" applyFont="1" applyFill="1" applyBorder="1" applyAlignment="1">
      <alignment horizontal="center" vertical="center" wrapText="1"/>
    </xf>
    <xf numFmtId="4" fontId="4" fillId="2" borderId="28"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4" borderId="37" xfId="0" applyFont="1" applyFill="1" applyBorder="1" applyAlignment="1">
      <alignment horizontal="center" vertical="center" wrapText="1"/>
    </xf>
    <xf numFmtId="0" fontId="6" fillId="4" borderId="38" xfId="0"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35" xfId="0" applyNumberFormat="1" applyFont="1" applyFill="1" applyBorder="1" applyAlignment="1">
      <alignment horizontal="center" vertical="center" wrapText="1"/>
    </xf>
    <xf numFmtId="0" fontId="15" fillId="7" borderId="37"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15" fillId="7" borderId="46" xfId="0" applyFont="1" applyFill="1" applyBorder="1" applyAlignment="1">
      <alignment horizontal="center" vertical="center" wrapText="1"/>
    </xf>
    <xf numFmtId="0" fontId="15" fillId="7" borderId="47" xfId="0" applyFont="1" applyFill="1" applyBorder="1" applyAlignment="1">
      <alignment horizontal="center" vertical="center" wrapText="1"/>
    </xf>
  </cellXfs>
  <cellStyles count="8">
    <cellStyle name="Accent6" xfId="7" builtinId="49"/>
    <cellStyle name="Milliers" xfId="1" builtinId="3"/>
    <cellStyle name="Monétaire" xfId="4" builtinId="4"/>
    <cellStyle name="Neutre" xfId="6" builtinId="28"/>
    <cellStyle name="Normal" xfId="0" builtinId="0"/>
    <cellStyle name="Normal 2" xfId="3"/>
    <cellStyle name="Percent 2" xfId="5"/>
    <cellStyle name="Pourcentage" xfId="2" builtinId="5"/>
  </cellStyles>
  <dxfs count="0"/>
  <tableStyles count="0" defaultTableStyle="TableStyleMedium2" defaultPivotStyle="PivotStyleLight16"/>
  <colors>
    <mruColors>
      <color rgb="FFFF00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6"/>
  <sheetViews>
    <sheetView showGridLines="0" tabSelected="1" zoomScale="84" zoomScaleNormal="84" workbookViewId="0">
      <pane xSplit="1" ySplit="10" topLeftCell="B206" activePane="bottomRight" state="frozen"/>
      <selection pane="topRight" activeCell="B1" sqref="B1"/>
      <selection pane="bottomLeft" activeCell="A10" sqref="A10"/>
      <selection pane="bottomRight" activeCell="I15" sqref="I15"/>
    </sheetView>
  </sheetViews>
  <sheetFormatPr baseColWidth="10" defaultColWidth="9.140625" defaultRowHeight="12.75" x14ac:dyDescent="0.2"/>
  <cols>
    <col min="1" max="1" width="65.42578125" style="69" customWidth="1"/>
    <col min="2" max="2" width="18.85546875" style="67" customWidth="1"/>
    <col min="3" max="3" width="9.5703125" style="67" customWidth="1"/>
    <col min="4" max="4" width="13.42578125" style="67" customWidth="1"/>
    <col min="5" max="5" width="16" style="67" customWidth="1"/>
    <col min="6" max="6" width="17.85546875" style="70" customWidth="1"/>
    <col min="7" max="7" width="10.5703125" style="94" customWidth="1"/>
    <col min="8" max="8" width="17.5703125" style="67" customWidth="1"/>
    <col min="9" max="9" width="14.7109375" style="67" bestFit="1" customWidth="1"/>
    <col min="10" max="10" width="13.140625" style="67" bestFit="1" customWidth="1"/>
    <col min="11" max="11" width="21.85546875" style="67" customWidth="1"/>
    <col min="12" max="12" width="17.5703125" style="67" hidden="1" customWidth="1"/>
    <col min="13" max="13" width="11" style="67" hidden="1" customWidth="1"/>
    <col min="14" max="14" width="10.5703125" style="67" hidden="1" customWidth="1"/>
    <col min="15" max="15" width="16" style="67" hidden="1" customWidth="1"/>
    <col min="16" max="16" width="25.140625" style="67" hidden="1" customWidth="1"/>
    <col min="17" max="18" width="8.28515625" style="68" customWidth="1"/>
    <col min="19" max="22" width="23.5703125" style="68" customWidth="1"/>
    <col min="23" max="16384" width="9.140625" style="68"/>
  </cols>
  <sheetData>
    <row r="1" spans="1:22" ht="15.75" x14ac:dyDescent="0.2">
      <c r="A1" s="65" t="s">
        <v>0</v>
      </c>
      <c r="B1" s="66"/>
      <c r="C1" s="66"/>
      <c r="D1" s="66"/>
      <c r="E1" s="66"/>
      <c r="F1" s="84"/>
      <c r="G1" s="93"/>
    </row>
    <row r="2" spans="1:22" ht="25.5" customHeight="1" x14ac:dyDescent="0.2">
      <c r="A2" s="83"/>
      <c r="B2" s="83" t="s">
        <v>139</v>
      </c>
      <c r="C2" s="83"/>
      <c r="D2" s="83"/>
      <c r="E2" s="83"/>
      <c r="F2" s="83"/>
      <c r="G2" s="83"/>
      <c r="L2" s="171"/>
      <c r="M2" s="111"/>
      <c r="N2" s="111"/>
      <c r="O2" s="111"/>
      <c r="P2" s="111"/>
    </row>
    <row r="3" spans="1:22" x14ac:dyDescent="0.2">
      <c r="A3" s="83"/>
      <c r="B3" s="109" t="s">
        <v>140</v>
      </c>
      <c r="C3" s="83"/>
      <c r="D3" s="83"/>
      <c r="E3" s="83"/>
      <c r="F3" s="83"/>
      <c r="G3" s="83"/>
      <c r="L3" s="172"/>
      <c r="M3" s="367"/>
      <c r="N3" s="368"/>
      <c r="O3" s="368"/>
      <c r="P3" s="111"/>
    </row>
    <row r="4" spans="1:22" x14ac:dyDescent="0.2">
      <c r="A4" s="126"/>
      <c r="B4" s="109"/>
      <c r="C4" s="83"/>
      <c r="D4" s="83"/>
      <c r="E4" s="83"/>
      <c r="F4" s="83"/>
      <c r="G4" s="83"/>
      <c r="L4" s="70"/>
      <c r="M4" s="70"/>
      <c r="N4" s="70"/>
      <c r="O4" s="70"/>
      <c r="P4" s="68"/>
    </row>
    <row r="5" spans="1:22" x14ac:dyDescent="0.2">
      <c r="B5" s="109"/>
      <c r="C5" s="83"/>
      <c r="D5" s="83"/>
      <c r="E5" s="83"/>
      <c r="F5" s="83"/>
      <c r="G5" s="83"/>
      <c r="L5" s="70"/>
      <c r="M5" s="70"/>
      <c r="N5" s="70"/>
      <c r="O5" s="70"/>
      <c r="P5" s="68"/>
    </row>
    <row r="6" spans="1:22" ht="13.5" thickBot="1" x14ac:dyDescent="0.25">
      <c r="B6" s="70"/>
      <c r="C6" s="70"/>
      <c r="D6" s="70"/>
      <c r="E6" s="70"/>
      <c r="L6" s="70"/>
      <c r="M6" s="70"/>
      <c r="N6" s="70"/>
      <c r="O6" s="70"/>
      <c r="P6" s="68"/>
    </row>
    <row r="7" spans="1:22" ht="47.25" customHeight="1" thickBot="1" x14ac:dyDescent="0.25">
      <c r="A7" s="71"/>
      <c r="B7" s="108" t="s">
        <v>1</v>
      </c>
      <c r="C7" s="56"/>
      <c r="D7" s="56"/>
      <c r="E7" s="57"/>
      <c r="F7" s="365" t="s">
        <v>2</v>
      </c>
      <c r="G7" s="366"/>
      <c r="H7" s="55" t="s">
        <v>3</v>
      </c>
      <c r="I7" s="56"/>
      <c r="J7" s="56"/>
      <c r="K7" s="57"/>
      <c r="L7" s="188" t="s">
        <v>397</v>
      </c>
      <c r="M7" s="189"/>
      <c r="N7" s="189"/>
      <c r="O7" s="190"/>
      <c r="P7" s="322"/>
    </row>
    <row r="8" spans="1:22" ht="13.5" thickBot="1" x14ac:dyDescent="0.25">
      <c r="A8" s="251"/>
      <c r="B8" s="251"/>
      <c r="C8" s="251"/>
      <c r="D8" s="251"/>
      <c r="E8" s="251"/>
      <c r="F8" s="78"/>
      <c r="H8" s="251"/>
      <c r="I8" s="251"/>
      <c r="J8" s="251"/>
      <c r="K8" s="251"/>
      <c r="L8" s="323"/>
      <c r="M8" s="68"/>
      <c r="N8" s="68"/>
      <c r="O8" s="68"/>
      <c r="P8" s="324"/>
    </row>
    <row r="9" spans="1:22" s="1" customFormat="1" ht="25.5" x14ac:dyDescent="0.2">
      <c r="A9" s="369" t="s">
        <v>4</v>
      </c>
      <c r="B9" s="257" t="s">
        <v>5</v>
      </c>
      <c r="C9" s="2" t="s">
        <v>6</v>
      </c>
      <c r="D9" s="72" t="s">
        <v>7</v>
      </c>
      <c r="E9" s="87" t="s">
        <v>8</v>
      </c>
      <c r="F9" s="363" t="s">
        <v>142</v>
      </c>
      <c r="G9" s="371" t="s">
        <v>143</v>
      </c>
      <c r="H9" s="259" t="s">
        <v>5</v>
      </c>
      <c r="I9" s="2" t="s">
        <v>6</v>
      </c>
      <c r="J9" s="72" t="s">
        <v>7</v>
      </c>
      <c r="K9" s="341" t="s">
        <v>8</v>
      </c>
      <c r="L9" s="325" t="s">
        <v>5</v>
      </c>
      <c r="M9" s="181" t="s">
        <v>6</v>
      </c>
      <c r="N9" s="182" t="s">
        <v>7</v>
      </c>
      <c r="O9" s="183" t="s">
        <v>8</v>
      </c>
      <c r="P9" s="361" t="s">
        <v>8</v>
      </c>
    </row>
    <row r="10" spans="1:22" s="1" customFormat="1" ht="15" customHeight="1" thickBot="1" x14ac:dyDescent="0.25">
      <c r="A10" s="370"/>
      <c r="B10" s="258"/>
      <c r="C10" s="3" t="s">
        <v>9</v>
      </c>
      <c r="D10" s="3" t="s">
        <v>10</v>
      </c>
      <c r="E10" s="88" t="s">
        <v>11</v>
      </c>
      <c r="F10" s="364"/>
      <c r="G10" s="372"/>
      <c r="H10" s="260"/>
      <c r="I10" s="3" t="s">
        <v>9</v>
      </c>
      <c r="J10" s="3" t="s">
        <v>10</v>
      </c>
      <c r="K10" s="342" t="s">
        <v>11</v>
      </c>
      <c r="L10" s="326"/>
      <c r="M10" s="184" t="s">
        <v>9</v>
      </c>
      <c r="N10" s="184" t="s">
        <v>10</v>
      </c>
      <c r="O10" s="185" t="s">
        <v>11</v>
      </c>
      <c r="P10" s="362"/>
    </row>
    <row r="11" spans="1:22" ht="24" customHeight="1" x14ac:dyDescent="0.2">
      <c r="A11" s="4" t="s">
        <v>12</v>
      </c>
      <c r="B11" s="5"/>
      <c r="C11" s="6"/>
      <c r="D11" s="7"/>
      <c r="E11" s="262"/>
      <c r="F11" s="86"/>
      <c r="G11" s="95"/>
      <c r="H11" s="58"/>
      <c r="I11" s="50"/>
      <c r="J11" s="51"/>
      <c r="K11" s="343"/>
      <c r="L11" s="58"/>
      <c r="M11" s="50"/>
      <c r="N11" s="51"/>
      <c r="O11" s="320"/>
      <c r="P11" s="320"/>
      <c r="U11" s="194"/>
    </row>
    <row r="12" spans="1:22" ht="24" customHeight="1" x14ac:dyDescent="0.2">
      <c r="A12" s="73" t="s">
        <v>129</v>
      </c>
      <c r="B12" s="120"/>
      <c r="C12" s="116"/>
      <c r="D12" s="263"/>
      <c r="E12" s="264"/>
      <c r="F12" s="85"/>
      <c r="G12" s="96"/>
      <c r="H12" s="120"/>
      <c r="I12" s="116"/>
      <c r="J12" s="263"/>
      <c r="K12" s="344"/>
      <c r="L12" s="8"/>
      <c r="M12" s="9"/>
      <c r="N12" s="10"/>
      <c r="O12" s="321"/>
      <c r="P12" s="321"/>
      <c r="U12" s="194"/>
    </row>
    <row r="13" spans="1:22" ht="24" customHeight="1" x14ac:dyDescent="0.2">
      <c r="A13" s="153" t="s">
        <v>13</v>
      </c>
      <c r="B13" s="265"/>
      <c r="C13" s="266"/>
      <c r="D13" s="267"/>
      <c r="E13" s="275"/>
      <c r="F13" s="200"/>
      <c r="G13" s="201"/>
      <c r="H13" s="265"/>
      <c r="I13" s="266"/>
      <c r="J13" s="267"/>
      <c r="K13" s="345"/>
      <c r="L13" s="20"/>
      <c r="M13" s="21"/>
      <c r="N13" s="22"/>
      <c r="O13" s="241"/>
      <c r="P13" s="241"/>
      <c r="U13" s="194"/>
    </row>
    <row r="14" spans="1:22" s="111" customFormat="1" ht="24" customHeight="1" x14ac:dyDescent="0.2">
      <c r="A14" s="228" t="s">
        <v>14</v>
      </c>
      <c r="B14" s="230" t="s">
        <v>15</v>
      </c>
      <c r="C14" s="231">
        <v>3200</v>
      </c>
      <c r="D14" s="232">
        <v>140</v>
      </c>
      <c r="E14" s="233">
        <f>+C14*D14</f>
        <v>448000</v>
      </c>
      <c r="F14" s="239">
        <f>-E14+K15+K16+K17</f>
        <v>42517.600000000006</v>
      </c>
      <c r="G14" s="240">
        <f>F14/E14</f>
        <v>9.4905357142857152E-2</v>
      </c>
      <c r="H14" s="230"/>
      <c r="I14" s="268"/>
      <c r="J14" s="232"/>
      <c r="K14" s="234"/>
      <c r="L14" s="230"/>
      <c r="M14" s="231"/>
      <c r="N14" s="232"/>
      <c r="O14" s="234"/>
      <c r="P14" s="234"/>
      <c r="Q14" s="68"/>
      <c r="R14" s="68"/>
      <c r="S14" s="68"/>
      <c r="T14" s="68"/>
      <c r="U14" s="194"/>
      <c r="V14" s="68"/>
    </row>
    <row r="15" spans="1:22" ht="24" customHeight="1" x14ac:dyDescent="0.2">
      <c r="A15" s="195" t="s">
        <v>144</v>
      </c>
      <c r="B15" s="117" t="s">
        <v>15</v>
      </c>
      <c r="C15" s="269"/>
      <c r="D15" s="270"/>
      <c r="E15" s="271"/>
      <c r="F15" s="197"/>
      <c r="G15" s="198"/>
      <c r="H15" s="117" t="s">
        <v>15</v>
      </c>
      <c r="I15" s="269">
        <f>K15/J15</f>
        <v>1192.6955</v>
      </c>
      <c r="J15" s="270">
        <v>200</v>
      </c>
      <c r="K15" s="346">
        <f>P15+O15</f>
        <v>238539.1</v>
      </c>
      <c r="L15" s="196" t="s">
        <v>15</v>
      </c>
      <c r="M15" s="34">
        <v>945</v>
      </c>
      <c r="N15" s="35">
        <v>200</v>
      </c>
      <c r="O15" s="176">
        <f>M15*N15</f>
        <v>189000</v>
      </c>
      <c r="P15" s="327">
        <f>3920+6300+39319.1</f>
        <v>49539.1</v>
      </c>
      <c r="Q15" s="339"/>
      <c r="R15" s="340"/>
      <c r="U15" s="194"/>
    </row>
    <row r="16" spans="1:22" ht="24" customHeight="1" x14ac:dyDescent="0.2">
      <c r="A16" s="112" t="s">
        <v>145</v>
      </c>
      <c r="B16" s="120" t="s">
        <v>15</v>
      </c>
      <c r="C16" s="116"/>
      <c r="D16" s="263"/>
      <c r="E16" s="261"/>
      <c r="F16" s="122"/>
      <c r="G16" s="123"/>
      <c r="H16" s="120" t="s">
        <v>15</v>
      </c>
      <c r="I16" s="116">
        <f>K16/J16</f>
        <v>585.21749999999997</v>
      </c>
      <c r="J16" s="263">
        <v>200</v>
      </c>
      <c r="K16" s="344">
        <f>P16+O16</f>
        <v>117043.5</v>
      </c>
      <c r="L16" s="8" t="s">
        <v>15</v>
      </c>
      <c r="M16" s="9">
        <v>490</v>
      </c>
      <c r="N16" s="10">
        <v>200</v>
      </c>
      <c r="O16" s="173">
        <f>M16*N16</f>
        <v>98000</v>
      </c>
      <c r="P16" s="328">
        <f>4200+14843.5</f>
        <v>19043.5</v>
      </c>
      <c r="Q16" s="339"/>
      <c r="R16" s="340"/>
      <c r="U16" s="194"/>
    </row>
    <row r="17" spans="1:21" ht="24" customHeight="1" x14ac:dyDescent="0.2">
      <c r="A17" s="199" t="s">
        <v>146</v>
      </c>
      <c r="B17" s="272" t="s">
        <v>15</v>
      </c>
      <c r="C17" s="273"/>
      <c r="D17" s="274"/>
      <c r="E17" s="275"/>
      <c r="F17" s="200"/>
      <c r="G17" s="201"/>
      <c r="H17" s="272" t="s">
        <v>15</v>
      </c>
      <c r="I17" s="273">
        <f>K17/J17</f>
        <v>674.67499999999995</v>
      </c>
      <c r="J17" s="274">
        <v>200</v>
      </c>
      <c r="K17" s="347">
        <f>P17+O17</f>
        <v>134935</v>
      </c>
      <c r="L17" s="24" t="s">
        <v>15</v>
      </c>
      <c r="M17" s="54">
        <v>510</v>
      </c>
      <c r="N17" s="25">
        <v>200</v>
      </c>
      <c r="O17" s="177">
        <f>M17*N17</f>
        <v>102000</v>
      </c>
      <c r="P17" s="329">
        <f>5040+4200+23695</f>
        <v>32935</v>
      </c>
      <c r="Q17" s="339"/>
      <c r="R17" s="340"/>
      <c r="U17" s="194"/>
    </row>
    <row r="18" spans="1:21" ht="24" customHeight="1" x14ac:dyDescent="0.2">
      <c r="A18" s="228" t="s">
        <v>16</v>
      </c>
      <c r="B18" s="230" t="s">
        <v>17</v>
      </c>
      <c r="C18" s="231">
        <v>96</v>
      </c>
      <c r="D18" s="232">
        <v>1900</v>
      </c>
      <c r="E18" s="233">
        <f>+D18*C18</f>
        <v>182400</v>
      </c>
      <c r="F18" s="276">
        <f>-E18+K19+K20+K21</f>
        <v>13894.25</v>
      </c>
      <c r="G18" s="277">
        <f>F18/E18</f>
        <v>7.6174616228070174E-2</v>
      </c>
      <c r="H18" s="230"/>
      <c r="I18" s="231"/>
      <c r="J18" s="232"/>
      <c r="K18" s="234"/>
      <c r="L18" s="235"/>
      <c r="M18" s="236"/>
      <c r="N18" s="236"/>
      <c r="O18" s="237"/>
      <c r="P18" s="238"/>
      <c r="Q18" s="339"/>
      <c r="R18" s="340"/>
      <c r="U18" s="194"/>
    </row>
    <row r="19" spans="1:21" ht="24" customHeight="1" x14ac:dyDescent="0.2">
      <c r="A19" s="195" t="s">
        <v>147</v>
      </c>
      <c r="B19" s="117" t="s">
        <v>17</v>
      </c>
      <c r="C19" s="278"/>
      <c r="D19" s="270"/>
      <c r="E19" s="262"/>
      <c r="F19" s="86"/>
      <c r="G19" s="95"/>
      <c r="H19" s="117" t="s">
        <v>17</v>
      </c>
      <c r="I19" s="269">
        <f t="shared" ref="I19:I28" si="0">K19/J19</f>
        <v>18.576923076923077</v>
      </c>
      <c r="J19" s="270">
        <v>2600</v>
      </c>
      <c r="K19" s="346">
        <f>P19+O19</f>
        <v>48300</v>
      </c>
      <c r="L19" s="196" t="s">
        <v>17</v>
      </c>
      <c r="M19" s="34">
        <v>17.5</v>
      </c>
      <c r="N19" s="35">
        <v>2600</v>
      </c>
      <c r="O19" s="176">
        <f t="shared" ref="O19:O28" si="1">M19*N19</f>
        <v>45500</v>
      </c>
      <c r="P19" s="330">
        <v>2800</v>
      </c>
      <c r="Q19" s="339"/>
      <c r="R19" s="340"/>
      <c r="U19" s="194"/>
    </row>
    <row r="20" spans="1:21" ht="24" customHeight="1" x14ac:dyDescent="0.2">
      <c r="A20" s="112" t="s">
        <v>148</v>
      </c>
      <c r="B20" s="120" t="s">
        <v>17</v>
      </c>
      <c r="C20" s="279"/>
      <c r="D20" s="263"/>
      <c r="E20" s="264"/>
      <c r="F20" s="85"/>
      <c r="G20" s="96"/>
      <c r="H20" s="120" t="s">
        <v>17</v>
      </c>
      <c r="I20" s="116">
        <f t="shared" si="0"/>
        <v>40.997700000000002</v>
      </c>
      <c r="J20" s="263">
        <v>2500</v>
      </c>
      <c r="K20" s="344">
        <f>P20+O20</f>
        <v>102494.25</v>
      </c>
      <c r="L20" s="8" t="s">
        <v>17</v>
      </c>
      <c r="M20" s="9">
        <v>35</v>
      </c>
      <c r="N20" s="10">
        <v>2500</v>
      </c>
      <c r="O20" s="173">
        <f t="shared" si="1"/>
        <v>87500</v>
      </c>
      <c r="P20" s="192">
        <f>1743.55+2184.8+5111.5+1274.4+4680</f>
        <v>14994.25</v>
      </c>
      <c r="Q20" s="339"/>
      <c r="R20" s="340"/>
      <c r="U20" s="194"/>
    </row>
    <row r="21" spans="1:21" ht="24" customHeight="1" x14ac:dyDescent="0.2">
      <c r="A21" s="112" t="s">
        <v>149</v>
      </c>
      <c r="B21" s="120" t="s">
        <v>17</v>
      </c>
      <c r="C21" s="279"/>
      <c r="D21" s="263"/>
      <c r="E21" s="264"/>
      <c r="F21" s="85"/>
      <c r="G21" s="96"/>
      <c r="H21" s="120" t="s">
        <v>17</v>
      </c>
      <c r="I21" s="116">
        <f>K21/J21</f>
        <v>17.5</v>
      </c>
      <c r="J21" s="263">
        <v>2600</v>
      </c>
      <c r="K21" s="344">
        <f>O21</f>
        <v>45500</v>
      </c>
      <c r="L21" s="8" t="s">
        <v>17</v>
      </c>
      <c r="M21" s="9">
        <v>17.5</v>
      </c>
      <c r="N21" s="10">
        <v>2600</v>
      </c>
      <c r="O21" s="173">
        <f t="shared" si="1"/>
        <v>45500</v>
      </c>
      <c r="P21" s="331"/>
      <c r="Q21" s="339"/>
      <c r="R21" s="340"/>
      <c r="U21" s="194"/>
    </row>
    <row r="22" spans="1:21" ht="24" customHeight="1" x14ac:dyDescent="0.2">
      <c r="A22" s="75" t="s">
        <v>18</v>
      </c>
      <c r="B22" s="205" t="s">
        <v>17</v>
      </c>
      <c r="C22" s="210">
        <v>48</v>
      </c>
      <c r="D22" s="207">
        <v>1900</v>
      </c>
      <c r="E22" s="208">
        <f>+C22*D22</f>
        <v>91200</v>
      </c>
      <c r="F22" s="211">
        <f>-E22+K22</f>
        <v>50007.179999999993</v>
      </c>
      <c r="G22" s="212">
        <f t="shared" ref="G22:G38" si="2">F22/E22</f>
        <v>0.54832434210526304</v>
      </c>
      <c r="H22" s="205" t="s">
        <v>17</v>
      </c>
      <c r="I22" s="206">
        <f>K22/J22</f>
        <v>40.105277948858003</v>
      </c>
      <c r="J22" s="207">
        <v>3520.9126384828073</v>
      </c>
      <c r="K22" s="338">
        <f>O22+P22</f>
        <v>141207.18</v>
      </c>
      <c r="L22" s="205" t="s">
        <v>17</v>
      </c>
      <c r="M22" s="206">
        <v>34.973276148385544</v>
      </c>
      <c r="N22" s="207">
        <v>3520.9126384828073</v>
      </c>
      <c r="O22" s="209">
        <f>M22*N22</f>
        <v>123137.84999999998</v>
      </c>
      <c r="P22" s="214">
        <v>18069.330000000002</v>
      </c>
      <c r="Q22" s="339"/>
      <c r="R22" s="340"/>
      <c r="U22" s="194"/>
    </row>
    <row r="23" spans="1:21" ht="24" customHeight="1" x14ac:dyDescent="0.2">
      <c r="A23" s="75" t="s">
        <v>19</v>
      </c>
      <c r="B23" s="205" t="s">
        <v>17</v>
      </c>
      <c r="C23" s="210">
        <v>96</v>
      </c>
      <c r="D23" s="207">
        <v>2000</v>
      </c>
      <c r="E23" s="208">
        <f>+C23*D23</f>
        <v>192000</v>
      </c>
      <c r="F23" s="211">
        <f>-E23+K23</f>
        <v>-93445.08</v>
      </c>
      <c r="G23" s="212">
        <f>F23/E23</f>
        <v>-0.486693125</v>
      </c>
      <c r="H23" s="205" t="s">
        <v>17</v>
      </c>
      <c r="I23" s="206">
        <f t="shared" si="0"/>
        <v>39.421968</v>
      </c>
      <c r="J23" s="207">
        <v>2500</v>
      </c>
      <c r="K23" s="338">
        <f>O23+P23</f>
        <v>98554.92</v>
      </c>
      <c r="L23" s="205" t="s">
        <v>17</v>
      </c>
      <c r="M23" s="206">
        <v>31.5</v>
      </c>
      <c r="N23" s="207">
        <v>2500</v>
      </c>
      <c r="O23" s="209">
        <f t="shared" si="1"/>
        <v>78750</v>
      </c>
      <c r="P23" s="213">
        <v>19804.920000000002</v>
      </c>
      <c r="Q23" s="339"/>
      <c r="R23" s="340"/>
      <c r="U23" s="194"/>
    </row>
    <row r="24" spans="1:21" ht="24" customHeight="1" x14ac:dyDescent="0.2">
      <c r="A24" s="229" t="s">
        <v>20</v>
      </c>
      <c r="B24" s="280"/>
      <c r="C24" s="281"/>
      <c r="D24" s="282"/>
      <c r="E24" s="283"/>
      <c r="F24" s="224"/>
      <c r="G24" s="225"/>
      <c r="H24" s="280"/>
      <c r="I24" s="281"/>
      <c r="J24" s="282"/>
      <c r="K24" s="348"/>
      <c r="L24" s="221"/>
      <c r="M24" s="222"/>
      <c r="N24" s="223"/>
      <c r="O24" s="226"/>
      <c r="P24" s="227"/>
      <c r="Q24" s="339"/>
      <c r="R24" s="340"/>
      <c r="U24" s="194"/>
    </row>
    <row r="25" spans="1:21" ht="24" customHeight="1" x14ac:dyDescent="0.2">
      <c r="A25" s="75" t="s">
        <v>21</v>
      </c>
      <c r="B25" s="205" t="s">
        <v>17</v>
      </c>
      <c r="C25" s="210">
        <v>48</v>
      </c>
      <c r="D25" s="207">
        <v>9000</v>
      </c>
      <c r="E25" s="208">
        <f t="shared" ref="E25:E29" si="3">+C25*D25</f>
        <v>432000</v>
      </c>
      <c r="F25" s="211">
        <f t="shared" ref="F25:F28" si="4">-E25+K25</f>
        <v>-40590.609999999986</v>
      </c>
      <c r="G25" s="212">
        <f t="shared" si="2"/>
        <v>-9.3959745370370343E-2</v>
      </c>
      <c r="H25" s="205" t="s">
        <v>17</v>
      </c>
      <c r="I25" s="206">
        <f t="shared" si="0"/>
        <v>46.596355952380954</v>
      </c>
      <c r="J25" s="207">
        <v>8400</v>
      </c>
      <c r="K25" s="338">
        <f>O25+P25</f>
        <v>391409.39</v>
      </c>
      <c r="L25" s="205" t="s">
        <v>17</v>
      </c>
      <c r="M25" s="206">
        <v>35</v>
      </c>
      <c r="N25" s="207">
        <v>8400</v>
      </c>
      <c r="O25" s="209">
        <f t="shared" si="1"/>
        <v>294000</v>
      </c>
      <c r="P25" s="213">
        <v>97409.39</v>
      </c>
      <c r="Q25" s="339"/>
      <c r="R25" s="340"/>
      <c r="U25" s="194"/>
    </row>
    <row r="26" spans="1:21" ht="24" customHeight="1" x14ac:dyDescent="0.2">
      <c r="A26" s="75" t="s">
        <v>22</v>
      </c>
      <c r="B26" s="205" t="s">
        <v>17</v>
      </c>
      <c r="C26" s="210">
        <v>48</v>
      </c>
      <c r="D26" s="207">
        <v>9000</v>
      </c>
      <c r="E26" s="208">
        <f t="shared" si="3"/>
        <v>432000</v>
      </c>
      <c r="F26" s="211">
        <f t="shared" si="4"/>
        <v>87289.835339999991</v>
      </c>
      <c r="G26" s="212">
        <f t="shared" si="2"/>
        <v>0.20205980402777776</v>
      </c>
      <c r="H26" s="205" t="s">
        <v>17</v>
      </c>
      <c r="I26" s="206">
        <f t="shared" si="0"/>
        <v>47.208166849090908</v>
      </c>
      <c r="J26" s="207">
        <v>11000</v>
      </c>
      <c r="K26" s="338">
        <f>O26+P26</f>
        <v>519289.83533999999</v>
      </c>
      <c r="L26" s="205" t="s">
        <v>17</v>
      </c>
      <c r="M26" s="206">
        <v>35</v>
      </c>
      <c r="N26" s="207">
        <v>11000</v>
      </c>
      <c r="O26" s="209">
        <f t="shared" si="1"/>
        <v>385000</v>
      </c>
      <c r="P26" s="213">
        <v>134289.83533999999</v>
      </c>
      <c r="Q26" s="339"/>
      <c r="R26" s="340"/>
      <c r="U26" s="194"/>
    </row>
    <row r="27" spans="1:21" ht="24" customHeight="1" x14ac:dyDescent="0.2">
      <c r="A27" s="75" t="s">
        <v>23</v>
      </c>
      <c r="B27" s="205" t="s">
        <v>17</v>
      </c>
      <c r="C27" s="210">
        <v>48</v>
      </c>
      <c r="D27" s="207">
        <v>9000</v>
      </c>
      <c r="E27" s="208">
        <f t="shared" si="3"/>
        <v>432000</v>
      </c>
      <c r="F27" s="211">
        <f t="shared" si="4"/>
        <v>82870.493569999991</v>
      </c>
      <c r="G27" s="212">
        <f t="shared" si="2"/>
        <v>0.19182984622685184</v>
      </c>
      <c r="H27" s="205" t="s">
        <v>17</v>
      </c>
      <c r="I27" s="206">
        <f t="shared" si="0"/>
        <v>46.806408506363638</v>
      </c>
      <c r="J27" s="207">
        <v>11000</v>
      </c>
      <c r="K27" s="338">
        <f>O27+P27</f>
        <v>514870.49356999999</v>
      </c>
      <c r="L27" s="205" t="s">
        <v>17</v>
      </c>
      <c r="M27" s="206">
        <v>35</v>
      </c>
      <c r="N27" s="207">
        <v>11000</v>
      </c>
      <c r="O27" s="209">
        <f t="shared" si="1"/>
        <v>385000</v>
      </c>
      <c r="P27" s="213">
        <v>129870.49356999999</v>
      </c>
      <c r="Q27" s="339"/>
      <c r="R27" s="340"/>
      <c r="U27" s="194"/>
    </row>
    <row r="28" spans="1:21" ht="24" customHeight="1" x14ac:dyDescent="0.2">
      <c r="A28" s="75" t="s">
        <v>24</v>
      </c>
      <c r="B28" s="205" t="s">
        <v>17</v>
      </c>
      <c r="C28" s="210">
        <v>48</v>
      </c>
      <c r="D28" s="207">
        <v>5100</v>
      </c>
      <c r="E28" s="208">
        <f t="shared" si="3"/>
        <v>244800</v>
      </c>
      <c r="F28" s="211">
        <f t="shared" si="4"/>
        <v>-170400.06009800002</v>
      </c>
      <c r="G28" s="212">
        <f t="shared" si="2"/>
        <v>-0.69607867687091507</v>
      </c>
      <c r="H28" s="205" t="s">
        <v>17</v>
      </c>
      <c r="I28" s="206">
        <f t="shared" si="0"/>
        <v>11.99999030677419</v>
      </c>
      <c r="J28" s="207">
        <v>6200</v>
      </c>
      <c r="K28" s="338">
        <f>O28+P28</f>
        <v>74399.939901999984</v>
      </c>
      <c r="L28" s="205" t="s">
        <v>17</v>
      </c>
      <c r="M28" s="206">
        <v>0</v>
      </c>
      <c r="N28" s="207">
        <v>0</v>
      </c>
      <c r="O28" s="209">
        <f t="shared" si="1"/>
        <v>0</v>
      </c>
      <c r="P28" s="213">
        <v>74399.939901999984</v>
      </c>
      <c r="Q28" s="339"/>
      <c r="R28" s="340"/>
      <c r="U28" s="194"/>
    </row>
    <row r="29" spans="1:21" ht="24" customHeight="1" x14ac:dyDescent="0.2">
      <c r="A29" s="75" t="s">
        <v>25</v>
      </c>
      <c r="B29" s="205" t="s">
        <v>17</v>
      </c>
      <c r="C29" s="206">
        <v>120</v>
      </c>
      <c r="D29" s="207">
        <v>3150</v>
      </c>
      <c r="E29" s="208">
        <f t="shared" si="3"/>
        <v>378000</v>
      </c>
      <c r="F29" s="211">
        <f>-E29+K30+K31+K32+K33</f>
        <v>366770.44</v>
      </c>
      <c r="G29" s="212">
        <f t="shared" si="2"/>
        <v>0.97029216931216933</v>
      </c>
      <c r="H29" s="205"/>
      <c r="I29" s="206"/>
      <c r="J29" s="207"/>
      <c r="K29" s="338"/>
      <c r="L29" s="205"/>
      <c r="M29" s="206"/>
      <c r="N29" s="207"/>
      <c r="O29" s="209"/>
      <c r="P29" s="213">
        <v>75395.44</v>
      </c>
      <c r="Q29" s="339"/>
      <c r="R29" s="340"/>
      <c r="U29" s="194"/>
    </row>
    <row r="30" spans="1:21" ht="24" customHeight="1" x14ac:dyDescent="0.2">
      <c r="A30" s="112" t="s">
        <v>150</v>
      </c>
      <c r="B30" s="120" t="s">
        <v>17</v>
      </c>
      <c r="C30" s="279"/>
      <c r="D30" s="263"/>
      <c r="E30" s="264"/>
      <c r="F30" s="85"/>
      <c r="G30" s="96"/>
      <c r="H30" s="120" t="s">
        <v>17</v>
      </c>
      <c r="I30" s="116">
        <f>K30/J30</f>
        <v>56.898927058823531</v>
      </c>
      <c r="J30" s="263">
        <v>4250</v>
      </c>
      <c r="K30" s="344">
        <f>P30+O30</f>
        <v>241820.44</v>
      </c>
      <c r="L30" s="8" t="s">
        <v>17</v>
      </c>
      <c r="M30" s="9">
        <v>52.5</v>
      </c>
      <c r="N30" s="10">
        <v>4250</v>
      </c>
      <c r="O30" s="173">
        <f>M30*N30</f>
        <v>223125</v>
      </c>
      <c r="P30" s="173">
        <f>12395.44+6300</f>
        <v>18695.440000000002</v>
      </c>
      <c r="Q30" s="339"/>
      <c r="R30" s="340"/>
      <c r="U30" s="194"/>
    </row>
    <row r="31" spans="1:21" ht="24" customHeight="1" x14ac:dyDescent="0.2">
      <c r="A31" s="112" t="s">
        <v>151</v>
      </c>
      <c r="B31" s="120" t="s">
        <v>17</v>
      </c>
      <c r="C31" s="279"/>
      <c r="D31" s="263"/>
      <c r="E31" s="264"/>
      <c r="F31" s="85"/>
      <c r="G31" s="96"/>
      <c r="H31" s="120" t="s">
        <v>17</v>
      </c>
      <c r="I31" s="116">
        <f>K31/J31</f>
        <v>48.341176470588238</v>
      </c>
      <c r="J31" s="263">
        <v>4250</v>
      </c>
      <c r="K31" s="344">
        <f>P31+O31</f>
        <v>205450</v>
      </c>
      <c r="L31" s="8" t="s">
        <v>17</v>
      </c>
      <c r="M31" s="9">
        <v>35</v>
      </c>
      <c r="N31" s="10">
        <v>4250</v>
      </c>
      <c r="O31" s="173">
        <f>M31*N31</f>
        <v>148750</v>
      </c>
      <c r="P31" s="173">
        <f>56700</f>
        <v>56700</v>
      </c>
      <c r="Q31" s="339"/>
      <c r="R31" s="340"/>
      <c r="U31" s="194"/>
    </row>
    <row r="32" spans="1:21" ht="24" customHeight="1" x14ac:dyDescent="0.2">
      <c r="A32" s="112" t="s">
        <v>152</v>
      </c>
      <c r="B32" s="120" t="s">
        <v>17</v>
      </c>
      <c r="C32" s="279"/>
      <c r="D32" s="263"/>
      <c r="E32" s="264"/>
      <c r="F32" s="85"/>
      <c r="G32" s="96"/>
      <c r="H32" s="120" t="s">
        <v>17</v>
      </c>
      <c r="I32" s="116">
        <v>35</v>
      </c>
      <c r="J32" s="263">
        <v>4250</v>
      </c>
      <c r="K32" s="344">
        <f>I32*J32</f>
        <v>148750</v>
      </c>
      <c r="L32" s="8" t="s">
        <v>17</v>
      </c>
      <c r="M32" s="9">
        <v>35</v>
      </c>
      <c r="N32" s="10">
        <v>4250</v>
      </c>
      <c r="O32" s="173">
        <f>M32*N32</f>
        <v>148750</v>
      </c>
      <c r="P32" s="173"/>
      <c r="Q32" s="339"/>
      <c r="R32" s="340"/>
      <c r="U32" s="194"/>
    </row>
    <row r="33" spans="1:21" ht="24" customHeight="1" x14ac:dyDescent="0.2">
      <c r="A33" s="112" t="s">
        <v>153</v>
      </c>
      <c r="B33" s="120" t="s">
        <v>17</v>
      </c>
      <c r="C33" s="279"/>
      <c r="D33" s="263"/>
      <c r="E33" s="264"/>
      <c r="F33" s="85"/>
      <c r="G33" s="96"/>
      <c r="H33" s="120" t="s">
        <v>17</v>
      </c>
      <c r="I33" s="116">
        <v>35</v>
      </c>
      <c r="J33" s="263">
        <v>4250</v>
      </c>
      <c r="K33" s="344">
        <f>I33*J33</f>
        <v>148750</v>
      </c>
      <c r="L33" s="8" t="s">
        <v>17</v>
      </c>
      <c r="M33" s="9">
        <v>35</v>
      </c>
      <c r="N33" s="10">
        <v>4250</v>
      </c>
      <c r="O33" s="173">
        <f>M33*N33</f>
        <v>148750</v>
      </c>
      <c r="P33" s="173"/>
      <c r="Q33" s="339"/>
      <c r="R33" s="340"/>
      <c r="U33" s="194"/>
    </row>
    <row r="34" spans="1:21" ht="24" customHeight="1" x14ac:dyDescent="0.2">
      <c r="A34" s="242" t="s">
        <v>130</v>
      </c>
      <c r="B34" s="280"/>
      <c r="C34" s="281"/>
      <c r="D34" s="282"/>
      <c r="E34" s="283"/>
      <c r="F34" s="224"/>
      <c r="G34" s="225"/>
      <c r="H34" s="280"/>
      <c r="I34" s="281"/>
      <c r="J34" s="282"/>
      <c r="K34" s="348"/>
      <c r="L34" s="221"/>
      <c r="M34" s="222"/>
      <c r="N34" s="223"/>
      <c r="O34" s="226"/>
      <c r="P34" s="226"/>
      <c r="Q34" s="339"/>
      <c r="R34" s="340"/>
      <c r="U34" s="194"/>
    </row>
    <row r="35" spans="1:21" ht="24" customHeight="1" x14ac:dyDescent="0.2">
      <c r="A35" s="125" t="s">
        <v>26</v>
      </c>
      <c r="B35" s="120"/>
      <c r="C35" s="279"/>
      <c r="D35" s="263"/>
      <c r="E35" s="264"/>
      <c r="F35" s="85"/>
      <c r="G35" s="96"/>
      <c r="H35" s="120"/>
      <c r="I35" s="116"/>
      <c r="J35" s="263"/>
      <c r="K35" s="344"/>
      <c r="L35" s="8"/>
      <c r="M35" s="9"/>
      <c r="N35" s="10"/>
      <c r="O35" s="173"/>
      <c r="P35" s="173"/>
      <c r="Q35" s="339"/>
      <c r="R35" s="340"/>
      <c r="U35" s="194"/>
    </row>
    <row r="36" spans="1:21" ht="24" customHeight="1" x14ac:dyDescent="0.2">
      <c r="A36" s="75" t="s">
        <v>27</v>
      </c>
      <c r="B36" s="120"/>
      <c r="C36" s="279"/>
      <c r="D36" s="263"/>
      <c r="E36" s="264"/>
      <c r="F36" s="85"/>
      <c r="G36" s="96"/>
      <c r="H36" s="120"/>
      <c r="I36" s="279"/>
      <c r="J36" s="263"/>
      <c r="K36" s="344"/>
      <c r="L36" s="8"/>
      <c r="M36" s="9"/>
      <c r="N36" s="10"/>
      <c r="O36" s="173"/>
      <c r="P36" s="173"/>
      <c r="Q36" s="339"/>
      <c r="R36" s="340"/>
      <c r="U36" s="194"/>
    </row>
    <row r="37" spans="1:21" ht="24" customHeight="1" x14ac:dyDescent="0.2">
      <c r="A37" s="125" t="s">
        <v>28</v>
      </c>
      <c r="B37" s="120" t="s">
        <v>29</v>
      </c>
      <c r="C37" s="116">
        <v>300</v>
      </c>
      <c r="D37" s="263">
        <v>213</v>
      </c>
      <c r="E37" s="261">
        <f t="shared" ref="E37:E38" si="5">+C37*D37</f>
        <v>63900</v>
      </c>
      <c r="F37" s="122">
        <f>-E37+K40+K43+K46</f>
        <v>-8094</v>
      </c>
      <c r="G37" s="123">
        <f>F37/E37</f>
        <v>-0.12666666666666668</v>
      </c>
      <c r="H37" s="120"/>
      <c r="I37" s="116"/>
      <c r="J37" s="263"/>
      <c r="K37" s="349"/>
      <c r="L37" s="8"/>
      <c r="M37" s="9"/>
      <c r="N37" s="10"/>
      <c r="O37" s="173"/>
      <c r="P37" s="174">
        <v>2343</v>
      </c>
      <c r="Q37" s="339"/>
      <c r="R37" s="340"/>
      <c r="U37" s="194"/>
    </row>
    <row r="38" spans="1:21" ht="24" customHeight="1" x14ac:dyDescent="0.2">
      <c r="A38" s="125" t="s">
        <v>30</v>
      </c>
      <c r="B38" s="120" t="s">
        <v>29</v>
      </c>
      <c r="C38" s="116">
        <v>150</v>
      </c>
      <c r="D38" s="263">
        <v>220</v>
      </c>
      <c r="E38" s="261">
        <f t="shared" si="5"/>
        <v>33000</v>
      </c>
      <c r="F38" s="122">
        <f>-E38+K41+K44+K47</f>
        <v>-7600.9999999999982</v>
      </c>
      <c r="G38" s="123">
        <f t="shared" si="2"/>
        <v>-0.23033333333333328</v>
      </c>
      <c r="H38" s="120"/>
      <c r="I38" s="116"/>
      <c r="J38" s="263"/>
      <c r="K38" s="349"/>
      <c r="L38" s="8"/>
      <c r="M38" s="9"/>
      <c r="N38" s="10"/>
      <c r="O38" s="173"/>
      <c r="P38" s="174">
        <v>1089</v>
      </c>
      <c r="Q38" s="339"/>
      <c r="R38" s="340"/>
      <c r="U38" s="194"/>
    </row>
    <row r="39" spans="1:21" ht="24" customHeight="1" x14ac:dyDescent="0.2">
      <c r="A39" s="112" t="s">
        <v>154</v>
      </c>
      <c r="B39" s="120"/>
      <c r="C39" s="279"/>
      <c r="D39" s="263"/>
      <c r="E39" s="264"/>
      <c r="F39" s="85"/>
      <c r="G39" s="96"/>
      <c r="H39" s="120"/>
      <c r="I39" s="116"/>
      <c r="J39" s="263"/>
      <c r="K39" s="344"/>
      <c r="L39" s="8"/>
      <c r="M39" s="9"/>
      <c r="N39" s="10"/>
      <c r="O39" s="173"/>
      <c r="P39" s="336" t="s">
        <v>398</v>
      </c>
      <c r="Q39" s="339"/>
      <c r="R39" s="340"/>
      <c r="U39" s="194"/>
    </row>
    <row r="40" spans="1:21" ht="24" customHeight="1" x14ac:dyDescent="0.2">
      <c r="A40" s="112" t="s">
        <v>28</v>
      </c>
      <c r="B40" s="120" t="s">
        <v>29</v>
      </c>
      <c r="C40" s="279"/>
      <c r="D40" s="263"/>
      <c r="E40" s="264"/>
      <c r="F40" s="85"/>
      <c r="G40" s="96"/>
      <c r="H40" s="120" t="s">
        <v>29</v>
      </c>
      <c r="I40" s="116">
        <f>K40/J40</f>
        <v>105.17</v>
      </c>
      <c r="J40" s="263">
        <v>213</v>
      </c>
      <c r="K40" s="344">
        <f>O40+P40</f>
        <v>22401.21</v>
      </c>
      <c r="L40" s="8" t="s">
        <v>29</v>
      </c>
      <c r="M40" s="11">
        <v>100</v>
      </c>
      <c r="N40" s="10">
        <v>213</v>
      </c>
      <c r="O40" s="173">
        <f>M40*N40</f>
        <v>21300</v>
      </c>
      <c r="P40" s="336">
        <f>P37*47%</f>
        <v>1101.21</v>
      </c>
      <c r="Q40" s="339"/>
      <c r="R40" s="340"/>
      <c r="U40" s="194"/>
    </row>
    <row r="41" spans="1:21" ht="24" customHeight="1" x14ac:dyDescent="0.2">
      <c r="A41" s="112" t="s">
        <v>30</v>
      </c>
      <c r="B41" s="120" t="s">
        <v>29</v>
      </c>
      <c r="C41" s="279"/>
      <c r="D41" s="263"/>
      <c r="E41" s="264"/>
      <c r="F41" s="85"/>
      <c r="G41" s="96"/>
      <c r="H41" s="120" t="s">
        <v>29</v>
      </c>
      <c r="I41" s="116">
        <f>K41/J41</f>
        <v>42.326500000000003</v>
      </c>
      <c r="J41" s="263">
        <v>220</v>
      </c>
      <c r="K41" s="344">
        <f>O41+P41</f>
        <v>9311.83</v>
      </c>
      <c r="L41" s="8" t="s">
        <v>29</v>
      </c>
      <c r="M41" s="11">
        <v>40</v>
      </c>
      <c r="N41" s="10">
        <v>220</v>
      </c>
      <c r="O41" s="173">
        <f>M41*N41</f>
        <v>8800</v>
      </c>
      <c r="P41" s="333">
        <f>P38*47%</f>
        <v>511.83</v>
      </c>
      <c r="Q41" s="339"/>
      <c r="R41" s="340"/>
      <c r="U41" s="194"/>
    </row>
    <row r="42" spans="1:21" ht="24" customHeight="1" x14ac:dyDescent="0.2">
      <c r="A42" s="112" t="s">
        <v>155</v>
      </c>
      <c r="B42" s="120"/>
      <c r="C42" s="279"/>
      <c r="D42" s="263"/>
      <c r="E42" s="264"/>
      <c r="F42" s="85"/>
      <c r="G42" s="96"/>
      <c r="H42" s="120"/>
      <c r="I42" s="116"/>
      <c r="J42" s="263"/>
      <c r="K42" s="344"/>
      <c r="L42" s="8"/>
      <c r="M42" s="11"/>
      <c r="N42" s="10"/>
      <c r="O42" s="173"/>
      <c r="P42" s="337"/>
      <c r="Q42" s="339"/>
      <c r="R42" s="340"/>
      <c r="U42" s="194"/>
    </row>
    <row r="43" spans="1:21" ht="24" customHeight="1" x14ac:dyDescent="0.2">
      <c r="A43" s="112" t="s">
        <v>28</v>
      </c>
      <c r="B43" s="120" t="s">
        <v>29</v>
      </c>
      <c r="C43" s="279"/>
      <c r="D43" s="263"/>
      <c r="E43" s="264"/>
      <c r="F43" s="85"/>
      <c r="G43" s="96"/>
      <c r="H43" s="120" t="s">
        <v>29</v>
      </c>
      <c r="I43" s="116">
        <f>K43/J43</f>
        <v>72.75</v>
      </c>
      <c r="J43" s="263">
        <v>213</v>
      </c>
      <c r="K43" s="344">
        <f>O43+P43</f>
        <v>15495.75</v>
      </c>
      <c r="L43" s="8" t="s">
        <v>29</v>
      </c>
      <c r="M43" s="11">
        <v>70</v>
      </c>
      <c r="N43" s="10">
        <v>213</v>
      </c>
      <c r="O43" s="173">
        <f t="shared" ref="O43:O44" si="6">M43*N43</f>
        <v>14910</v>
      </c>
      <c r="P43" s="336">
        <f>P37*25%</f>
        <v>585.75</v>
      </c>
      <c r="Q43" s="339"/>
      <c r="R43" s="340"/>
      <c r="U43" s="194"/>
    </row>
    <row r="44" spans="1:21" ht="24" customHeight="1" x14ac:dyDescent="0.2">
      <c r="A44" s="112" t="s">
        <v>30</v>
      </c>
      <c r="B44" s="120" t="s">
        <v>29</v>
      </c>
      <c r="C44" s="279"/>
      <c r="D44" s="263"/>
      <c r="E44" s="264"/>
      <c r="F44" s="85"/>
      <c r="G44" s="96"/>
      <c r="H44" s="120" t="s">
        <v>29</v>
      </c>
      <c r="I44" s="116">
        <f>K44/J44</f>
        <v>31.237500000000001</v>
      </c>
      <c r="J44" s="263">
        <v>220</v>
      </c>
      <c r="K44" s="344">
        <f>O44+P44</f>
        <v>6872.25</v>
      </c>
      <c r="L44" s="8" t="s">
        <v>29</v>
      </c>
      <c r="M44" s="11">
        <v>30</v>
      </c>
      <c r="N44" s="10">
        <v>220</v>
      </c>
      <c r="O44" s="173">
        <f t="shared" si="6"/>
        <v>6600</v>
      </c>
      <c r="P44" s="333">
        <f>P38*25%</f>
        <v>272.25</v>
      </c>
      <c r="Q44" s="339"/>
      <c r="R44" s="340"/>
      <c r="U44" s="194"/>
    </row>
    <row r="45" spans="1:21" ht="24" customHeight="1" x14ac:dyDescent="0.2">
      <c r="A45" s="112" t="s">
        <v>156</v>
      </c>
      <c r="B45" s="120"/>
      <c r="C45" s="279"/>
      <c r="D45" s="263"/>
      <c r="E45" s="264"/>
      <c r="F45" s="85"/>
      <c r="G45" s="96"/>
      <c r="H45" s="120"/>
      <c r="I45" s="116"/>
      <c r="J45" s="263"/>
      <c r="K45" s="344"/>
      <c r="L45" s="8"/>
      <c r="M45" s="11"/>
      <c r="N45" s="10"/>
      <c r="O45" s="173"/>
      <c r="P45" s="337"/>
      <c r="Q45" s="339"/>
      <c r="R45" s="340"/>
      <c r="U45" s="194"/>
    </row>
    <row r="46" spans="1:21" ht="24" customHeight="1" x14ac:dyDescent="0.2">
      <c r="A46" s="112" t="s">
        <v>28</v>
      </c>
      <c r="B46" s="120" t="s">
        <v>29</v>
      </c>
      <c r="C46" s="279"/>
      <c r="D46" s="263"/>
      <c r="E46" s="264"/>
      <c r="F46" s="85"/>
      <c r="G46" s="96"/>
      <c r="H46" s="120" t="s">
        <v>29</v>
      </c>
      <c r="I46" s="116">
        <f>K46/J46</f>
        <v>84.08</v>
      </c>
      <c r="J46" s="263">
        <v>213</v>
      </c>
      <c r="K46" s="344">
        <f>O46+P46</f>
        <v>17909.04</v>
      </c>
      <c r="L46" s="8" t="s">
        <v>29</v>
      </c>
      <c r="M46" s="11">
        <v>81</v>
      </c>
      <c r="N46" s="10">
        <v>213</v>
      </c>
      <c r="O46" s="173">
        <f t="shared" ref="O46:O47" si="7">M46*N46</f>
        <v>17253</v>
      </c>
      <c r="P46" s="336">
        <f>P37*28%</f>
        <v>656.04000000000008</v>
      </c>
      <c r="Q46" s="339"/>
      <c r="R46" s="340"/>
      <c r="U46" s="194"/>
    </row>
    <row r="47" spans="1:21" ht="24" customHeight="1" x14ac:dyDescent="0.2">
      <c r="A47" s="112" t="s">
        <v>30</v>
      </c>
      <c r="B47" s="120" t="s">
        <v>29</v>
      </c>
      <c r="C47" s="279"/>
      <c r="D47" s="263"/>
      <c r="E47" s="264"/>
      <c r="F47" s="85"/>
      <c r="G47" s="96"/>
      <c r="H47" s="120" t="s">
        <v>29</v>
      </c>
      <c r="I47" s="116">
        <f>K47/J47</f>
        <v>41.886000000000003</v>
      </c>
      <c r="J47" s="263">
        <v>220</v>
      </c>
      <c r="K47" s="344">
        <f>O47+P47</f>
        <v>9214.92</v>
      </c>
      <c r="L47" s="8" t="s">
        <v>29</v>
      </c>
      <c r="M47" s="11">
        <v>40.5</v>
      </c>
      <c r="N47" s="10">
        <v>220</v>
      </c>
      <c r="O47" s="173">
        <f t="shared" si="7"/>
        <v>8910</v>
      </c>
      <c r="P47" s="333">
        <f>P38*28%</f>
        <v>304.92</v>
      </c>
      <c r="Q47" s="339"/>
      <c r="R47" s="340"/>
      <c r="U47" s="194"/>
    </row>
    <row r="48" spans="1:21" ht="24" customHeight="1" x14ac:dyDescent="0.2">
      <c r="A48" s="75" t="s">
        <v>31</v>
      </c>
      <c r="B48" s="120"/>
      <c r="C48" s="279"/>
      <c r="D48" s="263"/>
      <c r="E48" s="264"/>
      <c r="F48" s="85"/>
      <c r="G48" s="96"/>
      <c r="H48" s="120"/>
      <c r="I48" s="116"/>
      <c r="J48" s="263"/>
      <c r="K48" s="349"/>
      <c r="L48" s="8"/>
      <c r="M48" s="11"/>
      <c r="N48" s="10"/>
      <c r="O48" s="173"/>
      <c r="P48" s="173"/>
      <c r="Q48" s="339"/>
      <c r="R48" s="340"/>
      <c r="U48" s="194"/>
    </row>
    <row r="49" spans="1:22" ht="24" customHeight="1" x14ac:dyDescent="0.2">
      <c r="A49" s="79" t="s">
        <v>32</v>
      </c>
      <c r="B49" s="215" t="s">
        <v>29</v>
      </c>
      <c r="C49" s="210">
        <v>150</v>
      </c>
      <c r="D49" s="216">
        <v>220</v>
      </c>
      <c r="E49" s="217">
        <f t="shared" ref="E49:E50" si="8">+C49*D49</f>
        <v>33000</v>
      </c>
      <c r="F49" s="218">
        <f>-E49+K52+K55+K58</f>
        <v>-23584</v>
      </c>
      <c r="G49" s="219">
        <f t="shared" ref="G49:G50" si="9">F49/E49</f>
        <v>-0.71466666666666667</v>
      </c>
      <c r="H49" s="215"/>
      <c r="I49" s="210"/>
      <c r="J49" s="216"/>
      <c r="K49" s="350"/>
      <c r="L49" s="215"/>
      <c r="M49" s="210"/>
      <c r="N49" s="216"/>
      <c r="O49" s="209"/>
      <c r="P49" s="213">
        <v>0</v>
      </c>
      <c r="Q49" s="339"/>
      <c r="R49" s="340"/>
      <c r="U49" s="194"/>
    </row>
    <row r="50" spans="1:22" ht="24" customHeight="1" x14ac:dyDescent="0.2">
      <c r="A50" s="202" t="s">
        <v>34</v>
      </c>
      <c r="B50" s="215" t="s">
        <v>29</v>
      </c>
      <c r="C50" s="210">
        <v>300</v>
      </c>
      <c r="D50" s="216">
        <v>213</v>
      </c>
      <c r="E50" s="217">
        <f t="shared" si="8"/>
        <v>63900</v>
      </c>
      <c r="F50" s="218">
        <f>-E50+K53+K56+K59</f>
        <v>-23883.799999999996</v>
      </c>
      <c r="G50" s="219">
        <f t="shared" si="9"/>
        <v>-0.37376838810641622</v>
      </c>
      <c r="H50" s="215"/>
      <c r="I50" s="210"/>
      <c r="J50" s="216"/>
      <c r="K50" s="350"/>
      <c r="L50" s="215"/>
      <c r="M50" s="210"/>
      <c r="N50" s="216"/>
      <c r="O50" s="209"/>
      <c r="P50" s="213">
        <v>1591</v>
      </c>
      <c r="Q50" s="339"/>
      <c r="R50" s="340"/>
      <c r="U50" s="194"/>
    </row>
    <row r="51" spans="1:22" ht="24" customHeight="1" x14ac:dyDescent="0.2">
      <c r="A51" s="112" t="s">
        <v>157</v>
      </c>
      <c r="B51" s="120"/>
      <c r="C51" s="279"/>
      <c r="D51" s="263"/>
      <c r="E51" s="264"/>
      <c r="F51" s="85"/>
      <c r="G51" s="96"/>
      <c r="H51" s="120"/>
      <c r="I51" s="279"/>
      <c r="J51" s="263"/>
      <c r="K51" s="344"/>
      <c r="L51" s="8"/>
      <c r="M51" s="11"/>
      <c r="N51" s="10"/>
      <c r="O51" s="173"/>
      <c r="P51" s="173"/>
      <c r="Q51" s="339"/>
      <c r="R51" s="340"/>
      <c r="U51" s="194"/>
    </row>
    <row r="52" spans="1:22" ht="24" customHeight="1" x14ac:dyDescent="0.2">
      <c r="A52" s="112" t="s">
        <v>32</v>
      </c>
      <c r="B52" s="120" t="s">
        <v>29</v>
      </c>
      <c r="C52" s="279"/>
      <c r="D52" s="263"/>
      <c r="E52" s="264"/>
      <c r="F52" s="85"/>
      <c r="G52" s="96"/>
      <c r="H52" s="120" t="s">
        <v>33</v>
      </c>
      <c r="I52" s="279">
        <v>20</v>
      </c>
      <c r="J52" s="263">
        <v>220</v>
      </c>
      <c r="K52" s="344">
        <f>I52*J52</f>
        <v>4400</v>
      </c>
      <c r="L52" s="8" t="s">
        <v>33</v>
      </c>
      <c r="M52" s="11">
        <v>20</v>
      </c>
      <c r="N52" s="10">
        <v>220</v>
      </c>
      <c r="O52" s="173">
        <f>M52*N52</f>
        <v>4400</v>
      </c>
      <c r="P52" s="173"/>
      <c r="Q52" s="339"/>
      <c r="R52" s="340"/>
      <c r="U52" s="194"/>
    </row>
    <row r="53" spans="1:22" ht="24" customHeight="1" x14ac:dyDescent="0.2">
      <c r="A53" s="112" t="s">
        <v>34</v>
      </c>
      <c r="B53" s="120" t="s">
        <v>29</v>
      </c>
      <c r="C53" s="279"/>
      <c r="D53" s="263"/>
      <c r="E53" s="264"/>
      <c r="F53" s="85"/>
      <c r="G53" s="96"/>
      <c r="H53" s="120" t="s">
        <v>33</v>
      </c>
      <c r="I53" s="279">
        <f>K53/J53</f>
        <v>123.5106572769953</v>
      </c>
      <c r="J53" s="263">
        <v>213</v>
      </c>
      <c r="K53" s="344">
        <f>O53+P53</f>
        <v>26307.77</v>
      </c>
      <c r="L53" s="8" t="s">
        <v>33</v>
      </c>
      <c r="M53" s="11">
        <v>120</v>
      </c>
      <c r="N53" s="10">
        <v>213</v>
      </c>
      <c r="O53" s="173">
        <f>M53*N53</f>
        <v>25560</v>
      </c>
      <c r="P53" s="332">
        <f>P50*47%</f>
        <v>747.77</v>
      </c>
      <c r="Q53" s="339"/>
      <c r="R53" s="340"/>
      <c r="U53" s="194"/>
    </row>
    <row r="54" spans="1:22" ht="24" customHeight="1" x14ac:dyDescent="0.2">
      <c r="A54" s="112" t="s">
        <v>158</v>
      </c>
      <c r="B54" s="120"/>
      <c r="C54" s="279"/>
      <c r="D54" s="263"/>
      <c r="E54" s="264"/>
      <c r="F54" s="85"/>
      <c r="G54" s="96"/>
      <c r="H54" s="120"/>
      <c r="I54" s="279"/>
      <c r="J54" s="263"/>
      <c r="K54" s="344"/>
      <c r="L54" s="8"/>
      <c r="M54" s="11"/>
      <c r="N54" s="10"/>
      <c r="O54" s="173"/>
      <c r="P54" s="173"/>
      <c r="Q54" s="339"/>
      <c r="R54" s="340"/>
      <c r="U54" s="194"/>
    </row>
    <row r="55" spans="1:22" ht="24" customHeight="1" x14ac:dyDescent="0.2">
      <c r="A55" s="112" t="s">
        <v>32</v>
      </c>
      <c r="B55" s="120" t="s">
        <v>29</v>
      </c>
      <c r="C55" s="279"/>
      <c r="D55" s="263"/>
      <c r="E55" s="264"/>
      <c r="F55" s="85"/>
      <c r="G55" s="96"/>
      <c r="H55" s="120" t="s">
        <v>33</v>
      </c>
      <c r="I55" s="279">
        <v>12</v>
      </c>
      <c r="J55" s="263">
        <v>220</v>
      </c>
      <c r="K55" s="344">
        <f>I55*J55</f>
        <v>2640</v>
      </c>
      <c r="L55" s="8" t="s">
        <v>33</v>
      </c>
      <c r="M55" s="11">
        <v>12</v>
      </c>
      <c r="N55" s="10">
        <v>220</v>
      </c>
      <c r="O55" s="173">
        <f>M55*N55</f>
        <v>2640</v>
      </c>
      <c r="P55" s="173"/>
      <c r="Q55" s="339"/>
      <c r="R55" s="340"/>
      <c r="U55" s="194"/>
    </row>
    <row r="56" spans="1:22" ht="24" customHeight="1" x14ac:dyDescent="0.2">
      <c r="A56" s="112" t="s">
        <v>34</v>
      </c>
      <c r="B56" s="120" t="s">
        <v>29</v>
      </c>
      <c r="C56" s="279"/>
      <c r="D56" s="263"/>
      <c r="E56" s="264"/>
      <c r="F56" s="85"/>
      <c r="G56" s="96"/>
      <c r="H56" s="120" t="s">
        <v>33</v>
      </c>
      <c r="I56" s="279">
        <f>K56/J56</f>
        <v>29.86737089201878</v>
      </c>
      <c r="J56" s="263">
        <v>213</v>
      </c>
      <c r="K56" s="344">
        <f>O56+P56</f>
        <v>6361.75</v>
      </c>
      <c r="L56" s="8" t="s">
        <v>33</v>
      </c>
      <c r="M56" s="11">
        <v>28</v>
      </c>
      <c r="N56" s="10">
        <v>213</v>
      </c>
      <c r="O56" s="173">
        <f>M56*N56</f>
        <v>5964</v>
      </c>
      <c r="P56" s="332">
        <f>P50*25%</f>
        <v>397.75</v>
      </c>
      <c r="Q56" s="339"/>
      <c r="R56" s="340"/>
      <c r="U56" s="194"/>
    </row>
    <row r="57" spans="1:22" ht="24" customHeight="1" x14ac:dyDescent="0.2">
      <c r="A57" s="112" t="s">
        <v>159</v>
      </c>
      <c r="B57" s="120"/>
      <c r="C57" s="279"/>
      <c r="D57" s="263"/>
      <c r="E57" s="264"/>
      <c r="F57" s="85"/>
      <c r="G57" s="96"/>
      <c r="H57" s="120"/>
      <c r="I57" s="279"/>
      <c r="J57" s="263"/>
      <c r="K57" s="344"/>
      <c r="L57" s="8"/>
      <c r="M57" s="11"/>
      <c r="N57" s="10"/>
      <c r="O57" s="173"/>
      <c r="P57" s="173"/>
      <c r="Q57" s="339"/>
      <c r="R57" s="340"/>
      <c r="U57" s="194"/>
    </row>
    <row r="58" spans="1:22" ht="24" customHeight="1" x14ac:dyDescent="0.2">
      <c r="A58" s="112" t="s">
        <v>32</v>
      </c>
      <c r="B58" s="120" t="s">
        <v>29</v>
      </c>
      <c r="C58" s="279"/>
      <c r="D58" s="263"/>
      <c r="E58" s="264"/>
      <c r="F58" s="85"/>
      <c r="G58" s="96"/>
      <c r="H58" s="120" t="s">
        <v>33</v>
      </c>
      <c r="I58" s="279">
        <v>10.8</v>
      </c>
      <c r="J58" s="263">
        <v>220</v>
      </c>
      <c r="K58" s="344">
        <f>I58*J58</f>
        <v>2376</v>
      </c>
      <c r="L58" s="8" t="s">
        <v>33</v>
      </c>
      <c r="M58" s="11">
        <v>10.8</v>
      </c>
      <c r="N58" s="10">
        <v>220</v>
      </c>
      <c r="O58" s="173">
        <f>M58*N58</f>
        <v>2376</v>
      </c>
      <c r="P58" s="173"/>
      <c r="Q58" s="339"/>
      <c r="R58" s="340"/>
      <c r="U58" s="194"/>
    </row>
    <row r="59" spans="1:22" ht="24" customHeight="1" thickBot="1" x14ac:dyDescent="0.25">
      <c r="A59" s="112" t="s">
        <v>34</v>
      </c>
      <c r="B59" s="120" t="s">
        <v>29</v>
      </c>
      <c r="C59" s="279"/>
      <c r="D59" s="263"/>
      <c r="E59" s="264"/>
      <c r="F59" s="85"/>
      <c r="G59" s="96"/>
      <c r="H59" s="120" t="s">
        <v>33</v>
      </c>
      <c r="I59" s="279">
        <f>K59/J59</f>
        <v>34.491455399061046</v>
      </c>
      <c r="J59" s="263">
        <v>213</v>
      </c>
      <c r="K59" s="344">
        <f>O59+P59</f>
        <v>7346.6800000000021</v>
      </c>
      <c r="L59" s="8" t="s">
        <v>33</v>
      </c>
      <c r="M59" s="11">
        <v>32.400000000000006</v>
      </c>
      <c r="N59" s="10">
        <v>213</v>
      </c>
      <c r="O59" s="173">
        <f>M59*N59</f>
        <v>6901.2000000000016</v>
      </c>
      <c r="P59" s="332">
        <f>P50*28%</f>
        <v>445.48</v>
      </c>
      <c r="Q59" s="339"/>
      <c r="R59" s="340"/>
      <c r="U59" s="194"/>
    </row>
    <row r="60" spans="1:22" s="78" customFormat="1" ht="24.75" customHeight="1" thickBot="1" x14ac:dyDescent="0.25">
      <c r="A60" s="59" t="s">
        <v>35</v>
      </c>
      <c r="B60" s="60"/>
      <c r="C60" s="61"/>
      <c r="D60" s="62"/>
      <c r="E60" s="64">
        <f>SUM(E11:E59)</f>
        <v>3026200</v>
      </c>
      <c r="F60" s="89">
        <f>-E60+K60</f>
        <v>275751.24881200027</v>
      </c>
      <c r="G60" s="97">
        <f>F60/E60</f>
        <v>9.1121290335073782E-2</v>
      </c>
      <c r="H60" s="63"/>
      <c r="I60" s="61"/>
      <c r="J60" s="191"/>
      <c r="K60" s="351">
        <f>SUM(K15:K59)</f>
        <v>3301951.2488120003</v>
      </c>
      <c r="L60" s="63"/>
      <c r="M60" s="61"/>
      <c r="N60" s="62"/>
      <c r="O60" s="175">
        <f>SUM(O15:O59)</f>
        <v>2628377.0500000003</v>
      </c>
      <c r="P60" s="186">
        <f>SUM(P14:P59)</f>
        <v>753992.63881199993</v>
      </c>
      <c r="Q60" s="339"/>
      <c r="R60" s="340"/>
      <c r="S60" s="68"/>
      <c r="T60" s="68"/>
      <c r="U60" s="194"/>
      <c r="V60" s="68"/>
    </row>
    <row r="61" spans="1:22" ht="24.75" customHeight="1" x14ac:dyDescent="0.2">
      <c r="A61" s="284" t="s">
        <v>131</v>
      </c>
      <c r="B61" s="285"/>
      <c r="C61" s="286"/>
      <c r="D61" s="287"/>
      <c r="E61" s="288"/>
      <c r="F61" s="289"/>
      <c r="G61" s="290"/>
      <c r="H61" s="285"/>
      <c r="I61" s="286"/>
      <c r="J61" s="287"/>
      <c r="K61" s="352"/>
      <c r="L61" s="243"/>
      <c r="M61" s="244"/>
      <c r="N61" s="244"/>
      <c r="O61" s="246"/>
      <c r="P61" s="245"/>
      <c r="Q61" s="339"/>
      <c r="R61" s="340"/>
      <c r="U61" s="194"/>
    </row>
    <row r="62" spans="1:22" ht="24.75" customHeight="1" x14ac:dyDescent="0.2">
      <c r="A62" s="76" t="s">
        <v>36</v>
      </c>
      <c r="B62" s="15"/>
      <c r="C62" s="16"/>
      <c r="D62" s="17"/>
      <c r="E62" s="264"/>
      <c r="F62" s="85"/>
      <c r="G62" s="96"/>
      <c r="H62" s="15"/>
      <c r="I62" s="16"/>
      <c r="J62" s="17"/>
      <c r="K62" s="344"/>
      <c r="L62" s="15"/>
      <c r="M62" s="13"/>
      <c r="N62" s="13"/>
      <c r="O62" s="173"/>
      <c r="P62" s="173"/>
      <c r="Q62" s="339"/>
      <c r="R62" s="340"/>
      <c r="U62" s="194"/>
    </row>
    <row r="63" spans="1:22" ht="24.75" customHeight="1" x14ac:dyDescent="0.2">
      <c r="A63" s="125" t="s">
        <v>37</v>
      </c>
      <c r="B63" s="120"/>
      <c r="C63" s="16"/>
      <c r="D63" s="17"/>
      <c r="E63" s="264"/>
      <c r="F63" s="85"/>
      <c r="G63" s="96"/>
      <c r="H63" s="120"/>
      <c r="I63" s="16"/>
      <c r="J63" s="17"/>
      <c r="K63" s="344"/>
      <c r="L63" s="8"/>
      <c r="M63" s="13"/>
      <c r="N63" s="13"/>
      <c r="O63" s="173"/>
      <c r="P63" s="173"/>
      <c r="Q63" s="339"/>
      <c r="R63" s="340"/>
      <c r="U63" s="194"/>
    </row>
    <row r="64" spans="1:22" ht="24.75" customHeight="1" x14ac:dyDescent="0.2">
      <c r="A64" s="79" t="s">
        <v>38</v>
      </c>
      <c r="B64" s="118" t="s">
        <v>39</v>
      </c>
      <c r="C64" s="279">
        <v>58</v>
      </c>
      <c r="D64" s="291">
        <v>1200</v>
      </c>
      <c r="E64" s="264">
        <f t="shared" ref="E64" si="10">+C64*D64</f>
        <v>69600</v>
      </c>
      <c r="F64" s="85">
        <f>-E64+K65+K66+K67+K68</f>
        <v>-3429.9899999999961</v>
      </c>
      <c r="G64" s="96">
        <f>F64/E64</f>
        <v>-4.9281465517241323E-2</v>
      </c>
      <c r="H64" s="118"/>
      <c r="I64" s="279"/>
      <c r="J64" s="291"/>
      <c r="K64" s="344"/>
      <c r="L64" s="18"/>
      <c r="M64" s="13"/>
      <c r="N64" s="13"/>
      <c r="O64" s="173"/>
      <c r="P64" s="174">
        <v>9620.01</v>
      </c>
      <c r="Q64" s="339"/>
      <c r="R64" s="340"/>
      <c r="U64" s="194"/>
    </row>
    <row r="65" spans="1:21" ht="24.75" customHeight="1" x14ac:dyDescent="0.2">
      <c r="A65" s="112" t="s">
        <v>277</v>
      </c>
      <c r="B65" s="118" t="s">
        <v>39</v>
      </c>
      <c r="C65" s="279"/>
      <c r="D65" s="291"/>
      <c r="E65" s="264"/>
      <c r="F65" s="85"/>
      <c r="G65" s="96"/>
      <c r="H65" s="118" t="s">
        <v>39</v>
      </c>
      <c r="I65" s="279">
        <f>K65/J65</f>
        <v>19.797023076923079</v>
      </c>
      <c r="J65" s="291">
        <v>1300</v>
      </c>
      <c r="K65" s="344">
        <f>O65+P65</f>
        <v>25736.13</v>
      </c>
      <c r="L65" s="18" t="s">
        <v>39</v>
      </c>
      <c r="M65" s="11">
        <v>14.5</v>
      </c>
      <c r="N65" s="19">
        <v>1300</v>
      </c>
      <c r="O65" s="173">
        <f t="shared" ref="O65:O67" si="11">M65*N65</f>
        <v>18850</v>
      </c>
      <c r="P65" s="192">
        <v>6886.13</v>
      </c>
      <c r="Q65" s="339"/>
      <c r="R65" s="340"/>
      <c r="U65" s="194"/>
    </row>
    <row r="66" spans="1:21" ht="24.75" customHeight="1" x14ac:dyDescent="0.2">
      <c r="A66" s="112" t="s">
        <v>278</v>
      </c>
      <c r="B66" s="118" t="s">
        <v>39</v>
      </c>
      <c r="C66" s="279"/>
      <c r="D66" s="291"/>
      <c r="E66" s="264"/>
      <c r="F66" s="85"/>
      <c r="G66" s="96"/>
      <c r="H66" s="118" t="s">
        <v>39</v>
      </c>
      <c r="I66" s="279">
        <f>K66/J66</f>
        <v>15.853115384615384</v>
      </c>
      <c r="J66" s="291">
        <v>1300</v>
      </c>
      <c r="K66" s="344">
        <f>O66+P66</f>
        <v>20609.05</v>
      </c>
      <c r="L66" s="18" t="s">
        <v>39</v>
      </c>
      <c r="M66" s="11">
        <v>14.5</v>
      </c>
      <c r="N66" s="19">
        <v>1300</v>
      </c>
      <c r="O66" s="173">
        <f t="shared" si="11"/>
        <v>18850</v>
      </c>
      <c r="P66" s="192">
        <v>1759.05</v>
      </c>
      <c r="Q66" s="339"/>
      <c r="R66" s="340"/>
      <c r="U66" s="194"/>
    </row>
    <row r="67" spans="1:21" ht="24.75" customHeight="1" x14ac:dyDescent="0.2">
      <c r="A67" s="112" t="s">
        <v>279</v>
      </c>
      <c r="B67" s="118" t="s">
        <v>39</v>
      </c>
      <c r="C67" s="279"/>
      <c r="D67" s="291"/>
      <c r="E67" s="264"/>
      <c r="F67" s="85"/>
      <c r="G67" s="96"/>
      <c r="H67" s="118" t="s">
        <v>39</v>
      </c>
      <c r="I67" s="279">
        <f>K67/J67</f>
        <v>14.981538461538461</v>
      </c>
      <c r="J67" s="291">
        <v>1300</v>
      </c>
      <c r="K67" s="344">
        <f>O67+P67</f>
        <v>19476</v>
      </c>
      <c r="L67" s="18" t="s">
        <v>39</v>
      </c>
      <c r="M67" s="11">
        <v>14.5</v>
      </c>
      <c r="N67" s="19">
        <v>1300</v>
      </c>
      <c r="O67" s="173">
        <f t="shared" si="11"/>
        <v>18850</v>
      </c>
      <c r="P67" s="192">
        <v>626</v>
      </c>
      <c r="Q67" s="339"/>
      <c r="R67" s="340"/>
      <c r="U67" s="194"/>
    </row>
    <row r="68" spans="1:21" ht="24.75" customHeight="1" x14ac:dyDescent="0.2">
      <c r="A68" s="112" t="s">
        <v>160</v>
      </c>
      <c r="B68" s="118" t="s">
        <v>39</v>
      </c>
      <c r="C68" s="279"/>
      <c r="D68" s="291"/>
      <c r="E68" s="264"/>
      <c r="F68" s="85"/>
      <c r="G68" s="96"/>
      <c r="H68" s="118" t="s">
        <v>39</v>
      </c>
      <c r="I68" s="279">
        <f>K68/J68</f>
        <v>0.26833076923076921</v>
      </c>
      <c r="J68" s="291">
        <v>1300</v>
      </c>
      <c r="K68" s="344">
        <f>O68+P68</f>
        <v>348.83</v>
      </c>
      <c r="L68" s="18" t="s">
        <v>39</v>
      </c>
      <c r="M68" s="11">
        <v>0</v>
      </c>
      <c r="N68" s="19">
        <v>1300</v>
      </c>
      <c r="O68" s="173">
        <f>M68*N68</f>
        <v>0</v>
      </c>
      <c r="P68" s="192">
        <v>348.83</v>
      </c>
      <c r="Q68" s="339"/>
      <c r="R68" s="340"/>
      <c r="U68" s="194"/>
    </row>
    <row r="69" spans="1:21" ht="24.75" customHeight="1" x14ac:dyDescent="0.2">
      <c r="A69" s="79" t="s">
        <v>40</v>
      </c>
      <c r="B69" s="118" t="s">
        <v>39</v>
      </c>
      <c r="C69" s="279">
        <v>10</v>
      </c>
      <c r="D69" s="291">
        <v>1200</v>
      </c>
      <c r="E69" s="264">
        <f t="shared" ref="E69" si="12">+C69*D69</f>
        <v>12000</v>
      </c>
      <c r="F69" s="85">
        <f>-E69+O70+O71+O72</f>
        <v>133.33333333333394</v>
      </c>
      <c r="G69" s="96">
        <f t="shared" ref="G69:G74" si="13">F69/E69</f>
        <v>1.1111111111111162E-2</v>
      </c>
      <c r="H69" s="118"/>
      <c r="I69" s="279"/>
      <c r="J69" s="291"/>
      <c r="K69" s="344"/>
      <c r="L69" s="18"/>
      <c r="M69" s="11"/>
      <c r="N69" s="19"/>
      <c r="O69" s="173"/>
      <c r="P69" s="174">
        <v>0</v>
      </c>
      <c r="Q69" s="339"/>
      <c r="R69" s="340"/>
      <c r="U69" s="194"/>
    </row>
    <row r="70" spans="1:21" ht="24.75" customHeight="1" x14ac:dyDescent="0.2">
      <c r="A70" s="112" t="s">
        <v>161</v>
      </c>
      <c r="B70" s="118" t="s">
        <v>39</v>
      </c>
      <c r="C70" s="279"/>
      <c r="D70" s="291"/>
      <c r="E70" s="264"/>
      <c r="F70" s="85"/>
      <c r="G70" s="96"/>
      <c r="H70" s="118" t="s">
        <v>39</v>
      </c>
      <c r="I70" s="279">
        <v>3</v>
      </c>
      <c r="J70" s="291">
        <v>1300</v>
      </c>
      <c r="K70" s="344">
        <f>I70*J70</f>
        <v>3900</v>
      </c>
      <c r="L70" s="18" t="s">
        <v>39</v>
      </c>
      <c r="M70" s="11">
        <v>3</v>
      </c>
      <c r="N70" s="19">
        <v>1300</v>
      </c>
      <c r="O70" s="173">
        <f t="shared" ref="O70:O72" si="14">M70*N70</f>
        <v>3900</v>
      </c>
      <c r="P70" s="173"/>
      <c r="Q70" s="339"/>
      <c r="R70" s="340"/>
      <c r="U70" s="194"/>
    </row>
    <row r="71" spans="1:21" ht="24.75" customHeight="1" x14ac:dyDescent="0.2">
      <c r="A71" s="112" t="s">
        <v>162</v>
      </c>
      <c r="B71" s="118" t="s">
        <v>39</v>
      </c>
      <c r="C71" s="279"/>
      <c r="D71" s="291"/>
      <c r="E71" s="264"/>
      <c r="F71" s="85"/>
      <c r="G71" s="96"/>
      <c r="H71" s="118" t="s">
        <v>39</v>
      </c>
      <c r="I71" s="279">
        <v>3.3333333333333335</v>
      </c>
      <c r="J71" s="291">
        <v>1300</v>
      </c>
      <c r="K71" s="344">
        <f t="shared" ref="K71:K72" si="15">I71*J71</f>
        <v>4333.3333333333339</v>
      </c>
      <c r="L71" s="18" t="s">
        <v>39</v>
      </c>
      <c r="M71" s="11">
        <v>3.3333333333333335</v>
      </c>
      <c r="N71" s="19">
        <v>1300</v>
      </c>
      <c r="O71" s="173">
        <f t="shared" si="14"/>
        <v>4333.3333333333339</v>
      </c>
      <c r="P71" s="173"/>
      <c r="Q71" s="339"/>
      <c r="R71" s="340"/>
      <c r="U71" s="194"/>
    </row>
    <row r="72" spans="1:21" ht="24.75" customHeight="1" x14ac:dyDescent="0.2">
      <c r="A72" s="112" t="s">
        <v>163</v>
      </c>
      <c r="B72" s="118" t="s">
        <v>39</v>
      </c>
      <c r="C72" s="279"/>
      <c r="D72" s="291"/>
      <c r="E72" s="264"/>
      <c r="F72" s="85"/>
      <c r="G72" s="96"/>
      <c r="H72" s="118" t="s">
        <v>39</v>
      </c>
      <c r="I72" s="279">
        <v>3</v>
      </c>
      <c r="J72" s="291">
        <v>1300</v>
      </c>
      <c r="K72" s="344">
        <f t="shared" si="15"/>
        <v>3900</v>
      </c>
      <c r="L72" s="18" t="s">
        <v>39</v>
      </c>
      <c r="M72" s="11">
        <v>3</v>
      </c>
      <c r="N72" s="19">
        <v>1300</v>
      </c>
      <c r="O72" s="173">
        <f t="shared" si="14"/>
        <v>3900</v>
      </c>
      <c r="P72" s="173"/>
      <c r="Q72" s="339"/>
      <c r="R72" s="340"/>
      <c r="U72" s="194"/>
    </row>
    <row r="73" spans="1:21" ht="24.75" customHeight="1" x14ac:dyDescent="0.2">
      <c r="A73" s="76" t="s">
        <v>41</v>
      </c>
      <c r="B73" s="118"/>
      <c r="C73" s="279"/>
      <c r="D73" s="291"/>
      <c r="E73" s="264"/>
      <c r="F73" s="85"/>
      <c r="G73" s="96"/>
      <c r="H73" s="118"/>
      <c r="I73" s="279"/>
      <c r="J73" s="291"/>
      <c r="K73" s="344"/>
      <c r="L73" s="18"/>
      <c r="M73" s="11"/>
      <c r="N73" s="19"/>
      <c r="O73" s="173"/>
      <c r="P73" s="173"/>
      <c r="Q73" s="339"/>
      <c r="R73" s="340"/>
      <c r="U73" s="194"/>
    </row>
    <row r="74" spans="1:21" ht="24.75" customHeight="1" x14ac:dyDescent="0.2">
      <c r="A74" s="79" t="s">
        <v>42</v>
      </c>
      <c r="B74" s="118" t="s">
        <v>43</v>
      </c>
      <c r="C74" s="279">
        <v>100</v>
      </c>
      <c r="D74" s="291">
        <v>200</v>
      </c>
      <c r="E74" s="264">
        <f t="shared" ref="E74" si="16">+C74*D74</f>
        <v>20000</v>
      </c>
      <c r="F74" s="85">
        <f>-E74+K75+K76+K77</f>
        <v>-10200</v>
      </c>
      <c r="G74" s="96">
        <f t="shared" si="13"/>
        <v>-0.51</v>
      </c>
      <c r="H74" s="118"/>
      <c r="I74" s="279"/>
      <c r="J74" s="291"/>
      <c r="K74" s="344"/>
      <c r="L74" s="18"/>
      <c r="M74" s="11"/>
      <c r="N74" s="19"/>
      <c r="O74" s="173"/>
      <c r="P74" s="173">
        <v>0</v>
      </c>
      <c r="Q74" s="339"/>
      <c r="R74" s="340"/>
      <c r="U74" s="194"/>
    </row>
    <row r="75" spans="1:21" ht="24.75" customHeight="1" x14ac:dyDescent="0.2">
      <c r="A75" s="112" t="s">
        <v>164</v>
      </c>
      <c r="B75" s="118" t="s">
        <v>43</v>
      </c>
      <c r="C75" s="266"/>
      <c r="D75" s="267"/>
      <c r="E75" s="264"/>
      <c r="F75" s="85"/>
      <c r="G75" s="96"/>
      <c r="H75" s="265" t="s">
        <v>43</v>
      </c>
      <c r="I75" s="266">
        <v>14</v>
      </c>
      <c r="J75" s="267">
        <v>350</v>
      </c>
      <c r="K75" s="344">
        <f>I75*J75</f>
        <v>4900</v>
      </c>
      <c r="L75" s="20" t="s">
        <v>43</v>
      </c>
      <c r="M75" s="21">
        <v>14</v>
      </c>
      <c r="N75" s="22">
        <v>350</v>
      </c>
      <c r="O75" s="173">
        <f t="shared" ref="O75:O77" si="17">M75*N75</f>
        <v>4900</v>
      </c>
      <c r="P75" s="177"/>
      <c r="Q75" s="339"/>
      <c r="R75" s="340"/>
      <c r="U75" s="194"/>
    </row>
    <row r="76" spans="1:21" ht="24.75" customHeight="1" x14ac:dyDescent="0.2">
      <c r="A76" s="112" t="s">
        <v>165</v>
      </c>
      <c r="B76" s="118" t="s">
        <v>43</v>
      </c>
      <c r="C76" s="266"/>
      <c r="D76" s="267"/>
      <c r="E76" s="264"/>
      <c r="F76" s="85"/>
      <c r="G76" s="96"/>
      <c r="H76" s="265" t="s">
        <v>43</v>
      </c>
      <c r="I76" s="266">
        <v>6.44</v>
      </c>
      <c r="J76" s="267">
        <v>350</v>
      </c>
      <c r="K76" s="344">
        <f>I76*J76</f>
        <v>2254</v>
      </c>
      <c r="L76" s="20" t="s">
        <v>43</v>
      </c>
      <c r="M76" s="21">
        <v>6.44</v>
      </c>
      <c r="N76" s="22">
        <v>350</v>
      </c>
      <c r="O76" s="173">
        <f t="shared" si="17"/>
        <v>2254</v>
      </c>
      <c r="P76" s="177"/>
      <c r="Q76" s="339"/>
      <c r="R76" s="340"/>
      <c r="U76" s="194"/>
    </row>
    <row r="77" spans="1:21" ht="24.75" customHeight="1" x14ac:dyDescent="0.2">
      <c r="A77" s="112" t="s">
        <v>166</v>
      </c>
      <c r="B77" s="118" t="s">
        <v>43</v>
      </c>
      <c r="C77" s="266"/>
      <c r="D77" s="267"/>
      <c r="E77" s="264"/>
      <c r="F77" s="85"/>
      <c r="G77" s="96"/>
      <c r="H77" s="265" t="s">
        <v>43</v>
      </c>
      <c r="I77" s="266">
        <v>7.5600000000000005</v>
      </c>
      <c r="J77" s="267">
        <v>350</v>
      </c>
      <c r="K77" s="344">
        <f>I77*J77</f>
        <v>2646</v>
      </c>
      <c r="L77" s="20" t="s">
        <v>43</v>
      </c>
      <c r="M77" s="21">
        <v>7.5600000000000005</v>
      </c>
      <c r="N77" s="22">
        <v>350</v>
      </c>
      <c r="O77" s="173">
        <f t="shared" si="17"/>
        <v>2646</v>
      </c>
      <c r="P77" s="177"/>
      <c r="Q77" s="339"/>
      <c r="R77" s="340"/>
      <c r="U77" s="194"/>
    </row>
    <row r="78" spans="1:21" ht="24.75" customHeight="1" x14ac:dyDescent="0.2">
      <c r="A78" s="79" t="s">
        <v>44</v>
      </c>
      <c r="B78" s="118" t="s">
        <v>43</v>
      </c>
      <c r="C78" s="266">
        <v>100</v>
      </c>
      <c r="D78" s="267">
        <v>200</v>
      </c>
      <c r="E78" s="264">
        <f t="shared" ref="E78" si="18">+C78*D78</f>
        <v>20000</v>
      </c>
      <c r="F78" s="85">
        <f>-E78+K79+K80+K81</f>
        <v>-9275.2933333333331</v>
      </c>
      <c r="G78" s="96">
        <f>F78/E78</f>
        <v>-0.46376466666666666</v>
      </c>
      <c r="H78" s="265"/>
      <c r="I78" s="266"/>
      <c r="J78" s="267"/>
      <c r="K78" s="347"/>
      <c r="L78" s="20"/>
      <c r="M78" s="21"/>
      <c r="N78" s="21"/>
      <c r="O78" s="177"/>
      <c r="P78" s="187">
        <v>808.04</v>
      </c>
      <c r="Q78" s="339"/>
      <c r="R78" s="340"/>
      <c r="U78" s="194"/>
    </row>
    <row r="79" spans="1:21" ht="24.75" customHeight="1" x14ac:dyDescent="0.2">
      <c r="A79" s="112" t="s">
        <v>167</v>
      </c>
      <c r="B79" s="118" t="s">
        <v>43</v>
      </c>
      <c r="C79" s="266"/>
      <c r="D79" s="267"/>
      <c r="E79" s="264"/>
      <c r="F79" s="85"/>
      <c r="G79" s="96"/>
      <c r="H79" s="265" t="s">
        <v>43</v>
      </c>
      <c r="I79" s="266">
        <f>K79/J79</f>
        <v>16.503019047619048</v>
      </c>
      <c r="J79" s="267">
        <v>350</v>
      </c>
      <c r="K79" s="344">
        <f>O79+P79</f>
        <v>5776.0566666666673</v>
      </c>
      <c r="L79" s="20" t="s">
        <v>43</v>
      </c>
      <c r="M79" s="21">
        <v>14.333333333333334</v>
      </c>
      <c r="N79" s="22">
        <v>350</v>
      </c>
      <c r="O79" s="173">
        <f>M79*N79</f>
        <v>5016.666666666667</v>
      </c>
      <c r="P79" s="192">
        <v>759.39</v>
      </c>
      <c r="Q79" s="339"/>
      <c r="R79" s="340"/>
      <c r="U79" s="194"/>
    </row>
    <row r="80" spans="1:21" ht="24.75" customHeight="1" x14ac:dyDescent="0.2">
      <c r="A80" s="112" t="s">
        <v>168</v>
      </c>
      <c r="B80" s="118" t="s">
        <v>43</v>
      </c>
      <c r="C80" s="266"/>
      <c r="D80" s="267"/>
      <c r="E80" s="264"/>
      <c r="F80" s="85"/>
      <c r="G80" s="96"/>
      <c r="H80" s="265" t="s">
        <v>43</v>
      </c>
      <c r="I80" s="266">
        <f>K80/J80</f>
        <v>6.44</v>
      </c>
      <c r="J80" s="267">
        <v>350</v>
      </c>
      <c r="K80" s="344">
        <f>O80+P80</f>
        <v>2254</v>
      </c>
      <c r="L80" s="20" t="s">
        <v>43</v>
      </c>
      <c r="M80" s="21">
        <v>6.44</v>
      </c>
      <c r="N80" s="22">
        <v>350</v>
      </c>
      <c r="O80" s="173">
        <f>M80*N80</f>
        <v>2254</v>
      </c>
      <c r="P80" s="192"/>
      <c r="Q80" s="339"/>
      <c r="R80" s="340"/>
      <c r="U80" s="194"/>
    </row>
    <row r="81" spans="1:22" ht="24.75" customHeight="1" thickBot="1" x14ac:dyDescent="0.25">
      <c r="A81" s="112" t="s">
        <v>169</v>
      </c>
      <c r="B81" s="118" t="s">
        <v>43</v>
      </c>
      <c r="C81" s="266"/>
      <c r="D81" s="267"/>
      <c r="E81" s="264"/>
      <c r="F81" s="85"/>
      <c r="G81" s="96"/>
      <c r="H81" s="265" t="s">
        <v>43</v>
      </c>
      <c r="I81" s="266">
        <f>K81/J81</f>
        <v>7.6989999999999998</v>
      </c>
      <c r="J81" s="267">
        <v>350</v>
      </c>
      <c r="K81" s="344">
        <f>O81+P81</f>
        <v>2694.65</v>
      </c>
      <c r="L81" s="20" t="s">
        <v>43</v>
      </c>
      <c r="M81" s="21">
        <v>7.5600000000000005</v>
      </c>
      <c r="N81" s="22">
        <v>350</v>
      </c>
      <c r="O81" s="173">
        <f>M81*N81</f>
        <v>2646</v>
      </c>
      <c r="P81" s="192">
        <v>48.65</v>
      </c>
      <c r="Q81" s="339"/>
      <c r="R81" s="340"/>
      <c r="U81" s="194"/>
    </row>
    <row r="82" spans="1:22" s="78" customFormat="1" ht="24.75" customHeight="1" thickBot="1" x14ac:dyDescent="0.25">
      <c r="A82" s="59" t="s">
        <v>45</v>
      </c>
      <c r="B82" s="60"/>
      <c r="C82" s="61"/>
      <c r="D82" s="62"/>
      <c r="E82" s="64">
        <f>SUM(E61:E81)</f>
        <v>121600</v>
      </c>
      <c r="F82" s="292">
        <f>-E82+K82</f>
        <v>-22771.950000000012</v>
      </c>
      <c r="G82" s="97">
        <f>F82/E82</f>
        <v>-0.18726932565789484</v>
      </c>
      <c r="H82" s="63"/>
      <c r="I82" s="61"/>
      <c r="J82" s="62"/>
      <c r="K82" s="353">
        <f>SUM(K61:K81)</f>
        <v>98828.049999999988</v>
      </c>
      <c r="L82" s="249"/>
      <c r="M82" s="247"/>
      <c r="N82" s="248"/>
      <c r="O82" s="250">
        <f>SUM(O61:O81)</f>
        <v>88400.000000000015</v>
      </c>
      <c r="P82" s="250">
        <f>SUM(P61:P81)</f>
        <v>20856.100000000002</v>
      </c>
      <c r="Q82" s="339"/>
      <c r="R82" s="340"/>
      <c r="S82" s="68"/>
      <c r="T82" s="68"/>
      <c r="U82" s="194"/>
      <c r="V82" s="68"/>
    </row>
    <row r="83" spans="1:22" ht="24.75" customHeight="1" x14ac:dyDescent="0.2">
      <c r="A83" s="4" t="s">
        <v>132</v>
      </c>
      <c r="B83" s="12"/>
      <c r="C83" s="23"/>
      <c r="D83" s="14"/>
      <c r="E83" s="264"/>
      <c r="F83" s="86"/>
      <c r="G83" s="95"/>
      <c r="H83" s="12"/>
      <c r="I83" s="53"/>
      <c r="J83" s="14"/>
      <c r="K83" s="346"/>
      <c r="L83" s="12"/>
      <c r="M83" s="53"/>
      <c r="N83" s="14"/>
      <c r="O83" s="176"/>
      <c r="P83" s="176"/>
      <c r="Q83" s="339"/>
      <c r="R83" s="340"/>
      <c r="U83" s="194"/>
    </row>
    <row r="84" spans="1:22" ht="24.75" customHeight="1" x14ac:dyDescent="0.2">
      <c r="A84" s="76" t="s">
        <v>46</v>
      </c>
      <c r="B84" s="120" t="s">
        <v>47</v>
      </c>
      <c r="C84" s="279">
        <v>48</v>
      </c>
      <c r="D84" s="263">
        <v>1500</v>
      </c>
      <c r="E84" s="264">
        <f t="shared" ref="E84" si="19">+C84*D84</f>
        <v>72000</v>
      </c>
      <c r="F84" s="85">
        <f>-E84+K84</f>
        <v>-56000</v>
      </c>
      <c r="G84" s="96">
        <f>F84/E84</f>
        <v>-0.77777777777777779</v>
      </c>
      <c r="H84" s="120" t="s">
        <v>47</v>
      </c>
      <c r="I84" s="116">
        <v>16</v>
      </c>
      <c r="J84" s="263">
        <v>1000</v>
      </c>
      <c r="K84" s="344">
        <f t="shared" ref="K84" si="20">I84*J84</f>
        <v>16000</v>
      </c>
      <c r="L84" s="8" t="s">
        <v>47</v>
      </c>
      <c r="M84" s="9">
        <v>16</v>
      </c>
      <c r="N84" s="10">
        <v>1000</v>
      </c>
      <c r="O84" s="173">
        <f t="shared" ref="O84:O85" si="21">M84*N84</f>
        <v>16000</v>
      </c>
      <c r="P84" s="173">
        <v>0</v>
      </c>
      <c r="Q84" s="339"/>
      <c r="R84" s="340"/>
      <c r="U84" s="194"/>
    </row>
    <row r="85" spans="1:22" ht="24.75" customHeight="1" thickBot="1" x14ac:dyDescent="0.25">
      <c r="A85" s="80" t="s">
        <v>48</v>
      </c>
      <c r="B85" s="272" t="s">
        <v>49</v>
      </c>
      <c r="C85" s="266">
        <v>12</v>
      </c>
      <c r="D85" s="274">
        <v>2500</v>
      </c>
      <c r="E85" s="264">
        <f>+C85*D85</f>
        <v>30000</v>
      </c>
      <c r="F85" s="85">
        <f>-E85+K85</f>
        <v>-2237.7299999999996</v>
      </c>
      <c r="G85" s="96">
        <f>F85/E85</f>
        <v>-7.4590999999999991E-2</v>
      </c>
      <c r="H85" s="272" t="s">
        <v>49</v>
      </c>
      <c r="I85" s="273">
        <f>K85/J85</f>
        <v>11.104908</v>
      </c>
      <c r="J85" s="274">
        <v>2500</v>
      </c>
      <c r="K85" s="344">
        <f>O85+P85</f>
        <v>27762.27</v>
      </c>
      <c r="L85" s="24" t="s">
        <v>49</v>
      </c>
      <c r="M85" s="54">
        <v>7</v>
      </c>
      <c r="N85" s="25">
        <v>2500</v>
      </c>
      <c r="O85" s="173">
        <f t="shared" si="21"/>
        <v>17500</v>
      </c>
      <c r="P85" s="193">
        <v>10262.27</v>
      </c>
      <c r="Q85" s="339"/>
      <c r="R85" s="340"/>
      <c r="U85" s="194"/>
    </row>
    <row r="86" spans="1:22" s="78" customFormat="1" ht="24.75" customHeight="1" thickBot="1" x14ac:dyDescent="0.25">
      <c r="A86" s="59" t="s">
        <v>50</v>
      </c>
      <c r="B86" s="60"/>
      <c r="C86" s="61"/>
      <c r="D86" s="62"/>
      <c r="E86" s="64">
        <f>SUM(E83:E85)</f>
        <v>102000</v>
      </c>
      <c r="F86" s="292">
        <f>-E86+K86</f>
        <v>-58237.729999999996</v>
      </c>
      <c r="G86" s="97">
        <f>F86/E86</f>
        <v>-0.57095813725490197</v>
      </c>
      <c r="H86" s="63"/>
      <c r="I86" s="61"/>
      <c r="J86" s="62"/>
      <c r="K86" s="353">
        <f>SUM(K83:K85)</f>
        <v>43762.270000000004</v>
      </c>
      <c r="L86" s="249"/>
      <c r="M86" s="247"/>
      <c r="N86" s="248"/>
      <c r="O86" s="250">
        <f>SUM(O83:O85)</f>
        <v>33500</v>
      </c>
      <c r="P86" s="250">
        <f>SUM(P83:P85)</f>
        <v>10262.27</v>
      </c>
      <c r="Q86" s="339"/>
      <c r="R86" s="340"/>
      <c r="S86" s="68"/>
      <c r="T86" s="68"/>
      <c r="U86" s="194"/>
      <c r="V86" s="68"/>
    </row>
    <row r="87" spans="1:22" ht="24.75" customHeight="1" x14ac:dyDescent="0.2">
      <c r="A87" s="4" t="s">
        <v>51</v>
      </c>
      <c r="B87" s="293"/>
      <c r="C87" s="294"/>
      <c r="D87" s="295"/>
      <c r="E87" s="264"/>
      <c r="F87" s="86"/>
      <c r="G87" s="95"/>
      <c r="H87" s="293"/>
      <c r="I87" s="294"/>
      <c r="J87" s="295"/>
      <c r="K87" s="346"/>
      <c r="L87" s="26"/>
      <c r="M87" s="27"/>
      <c r="N87" s="28"/>
      <c r="O87" s="176"/>
      <c r="P87" s="176"/>
      <c r="Q87" s="339"/>
      <c r="R87" s="340"/>
      <c r="U87" s="194"/>
    </row>
    <row r="88" spans="1:22" ht="24.75" customHeight="1" x14ac:dyDescent="0.2">
      <c r="A88" s="76" t="s">
        <v>52</v>
      </c>
      <c r="B88" s="120" t="s">
        <v>47</v>
      </c>
      <c r="C88" s="279">
        <v>48</v>
      </c>
      <c r="D88" s="263">
        <v>800</v>
      </c>
      <c r="E88" s="264">
        <f t="shared" ref="E88:E89" si="22">+C88*D88</f>
        <v>38400</v>
      </c>
      <c r="F88" s="85">
        <f>-E88+K88</f>
        <v>-37804.688389682313</v>
      </c>
      <c r="G88" s="96">
        <f>F88/E88</f>
        <v>-0.9844970934813102</v>
      </c>
      <c r="H88" s="120" t="s">
        <v>47</v>
      </c>
      <c r="I88" s="116">
        <f>K88/J88</f>
        <v>0.74413951289710611</v>
      </c>
      <c r="J88" s="263">
        <v>800</v>
      </c>
      <c r="K88" s="344">
        <f>O88+P88</f>
        <v>595.31161031768488</v>
      </c>
      <c r="L88" s="8" t="s">
        <v>47</v>
      </c>
      <c r="M88" s="9">
        <v>0</v>
      </c>
      <c r="N88" s="10">
        <v>800</v>
      </c>
      <c r="O88" s="173">
        <f>M88*N88</f>
        <v>0</v>
      </c>
      <c r="P88" s="174">
        <v>595.31161031768488</v>
      </c>
      <c r="Q88" s="339"/>
      <c r="R88" s="340"/>
      <c r="U88" s="194"/>
    </row>
    <row r="89" spans="1:22" ht="24.75" customHeight="1" x14ac:dyDescent="0.2">
      <c r="A89" s="76" t="s">
        <v>53</v>
      </c>
      <c r="B89" s="120" t="s">
        <v>47</v>
      </c>
      <c r="C89" s="279">
        <v>48</v>
      </c>
      <c r="D89" s="263">
        <v>2800</v>
      </c>
      <c r="E89" s="264">
        <f t="shared" si="22"/>
        <v>134400</v>
      </c>
      <c r="F89" s="85">
        <f>-E89+K89</f>
        <v>-7126.1999999999971</v>
      </c>
      <c r="G89" s="96">
        <f t="shared" ref="G89:G96" si="23">F89/E89</f>
        <v>-5.3022321428571405E-2</v>
      </c>
      <c r="H89" s="120" t="s">
        <v>47</v>
      </c>
      <c r="I89" s="116">
        <f>K89/J89</f>
        <v>41.056064516129034</v>
      </c>
      <c r="J89" s="263">
        <v>3100</v>
      </c>
      <c r="K89" s="344">
        <f>O89+P89</f>
        <v>127273.8</v>
      </c>
      <c r="L89" s="8" t="s">
        <v>47</v>
      </c>
      <c r="M89" s="9">
        <v>35</v>
      </c>
      <c r="N89" s="10">
        <v>3100</v>
      </c>
      <c r="O89" s="173">
        <f>M89*N89</f>
        <v>108500</v>
      </c>
      <c r="P89" s="174">
        <v>18773.8</v>
      </c>
      <c r="Q89" s="339"/>
      <c r="R89" s="340"/>
      <c r="U89" s="194"/>
    </row>
    <row r="90" spans="1:22" ht="24.75" customHeight="1" x14ac:dyDescent="0.2">
      <c r="A90" s="76" t="s">
        <v>54</v>
      </c>
      <c r="B90" s="120"/>
      <c r="C90" s="279"/>
      <c r="D90" s="263"/>
      <c r="E90" s="264"/>
      <c r="F90" s="85"/>
      <c r="G90" s="96"/>
      <c r="H90" s="120"/>
      <c r="I90" s="116"/>
      <c r="J90" s="263"/>
      <c r="K90" s="344"/>
      <c r="L90" s="8"/>
      <c r="M90" s="9"/>
      <c r="N90" s="10"/>
      <c r="O90" s="173"/>
      <c r="P90" s="173"/>
      <c r="Q90" s="339"/>
      <c r="R90" s="340"/>
      <c r="U90" s="194"/>
    </row>
    <row r="91" spans="1:22" ht="24.75" customHeight="1" x14ac:dyDescent="0.2">
      <c r="A91" s="125" t="s">
        <v>55</v>
      </c>
      <c r="B91" s="120" t="s">
        <v>47</v>
      </c>
      <c r="C91" s="279">
        <v>48</v>
      </c>
      <c r="D91" s="263">
        <v>1000</v>
      </c>
      <c r="E91" s="264">
        <f t="shared" ref="E91:E92" si="24">+C91*D91</f>
        <v>48000</v>
      </c>
      <c r="F91" s="85">
        <f>-E91+K91</f>
        <v>-30500</v>
      </c>
      <c r="G91" s="96">
        <f t="shared" si="23"/>
        <v>-0.63541666666666663</v>
      </c>
      <c r="H91" s="120" t="s">
        <v>47</v>
      </c>
      <c r="I91" s="116">
        <v>35</v>
      </c>
      <c r="J91" s="263">
        <v>500</v>
      </c>
      <c r="K91" s="344">
        <f>I91*J91</f>
        <v>17500</v>
      </c>
      <c r="L91" s="8" t="s">
        <v>47</v>
      </c>
      <c r="M91" s="9">
        <v>35</v>
      </c>
      <c r="N91" s="10">
        <v>500</v>
      </c>
      <c r="O91" s="173">
        <f>M91*N91</f>
        <v>17500</v>
      </c>
      <c r="P91" s="173">
        <v>0</v>
      </c>
      <c r="Q91" s="339"/>
      <c r="R91" s="340"/>
      <c r="U91" s="194"/>
    </row>
    <row r="92" spans="1:22" ht="24.75" customHeight="1" x14ac:dyDescent="0.2">
      <c r="A92" s="125" t="s">
        <v>56</v>
      </c>
      <c r="B92" s="120" t="s">
        <v>57</v>
      </c>
      <c r="C92" s="279">
        <v>10</v>
      </c>
      <c r="D92" s="263">
        <v>1000</v>
      </c>
      <c r="E92" s="264">
        <f t="shared" si="24"/>
        <v>10000</v>
      </c>
      <c r="F92" s="85">
        <f>-E92+K92</f>
        <v>900</v>
      </c>
      <c r="G92" s="96">
        <f t="shared" si="23"/>
        <v>0.09</v>
      </c>
      <c r="H92" s="120" t="s">
        <v>57</v>
      </c>
      <c r="I92" s="116">
        <v>10</v>
      </c>
      <c r="J92" s="263">
        <v>1090</v>
      </c>
      <c r="K92" s="344">
        <f>I92*J92</f>
        <v>10900</v>
      </c>
      <c r="L92" s="8" t="s">
        <v>57</v>
      </c>
      <c r="M92" s="9">
        <v>10</v>
      </c>
      <c r="N92" s="10">
        <v>1090</v>
      </c>
      <c r="O92" s="173">
        <f>M92*N92</f>
        <v>10900</v>
      </c>
      <c r="P92" s="173">
        <v>0</v>
      </c>
      <c r="Q92" s="339"/>
      <c r="R92" s="340"/>
      <c r="U92" s="194"/>
    </row>
    <row r="93" spans="1:22" ht="24.75" customHeight="1" x14ac:dyDescent="0.2">
      <c r="A93" s="76" t="s">
        <v>58</v>
      </c>
      <c r="B93" s="120"/>
      <c r="C93" s="279"/>
      <c r="D93" s="263"/>
      <c r="E93" s="264"/>
      <c r="F93" s="85"/>
      <c r="G93" s="96"/>
      <c r="H93" s="120"/>
      <c r="I93" s="116"/>
      <c r="J93" s="263"/>
      <c r="K93" s="344"/>
      <c r="L93" s="8"/>
      <c r="M93" s="9"/>
      <c r="N93" s="10"/>
      <c r="O93" s="173"/>
      <c r="P93" s="173"/>
      <c r="Q93" s="339"/>
      <c r="R93" s="340"/>
      <c r="U93" s="194"/>
    </row>
    <row r="94" spans="1:22" ht="24.75" customHeight="1" x14ac:dyDescent="0.2">
      <c r="A94" s="125" t="s">
        <v>59</v>
      </c>
      <c r="B94" s="120" t="s">
        <v>17</v>
      </c>
      <c r="C94" s="279">
        <v>48</v>
      </c>
      <c r="D94" s="263">
        <v>1000</v>
      </c>
      <c r="E94" s="264">
        <f t="shared" ref="E94:E96" si="25">+C94*D94</f>
        <v>48000</v>
      </c>
      <c r="F94" s="85">
        <f>-E94+K94</f>
        <v>-30500</v>
      </c>
      <c r="G94" s="96">
        <f t="shared" si="23"/>
        <v>-0.63541666666666663</v>
      </c>
      <c r="H94" s="120" t="s">
        <v>17</v>
      </c>
      <c r="I94" s="116">
        <v>35</v>
      </c>
      <c r="J94" s="263">
        <v>500</v>
      </c>
      <c r="K94" s="344">
        <f>I94*J94</f>
        <v>17500</v>
      </c>
      <c r="L94" s="8" t="s">
        <v>17</v>
      </c>
      <c r="M94" s="9">
        <v>35</v>
      </c>
      <c r="N94" s="10">
        <v>500</v>
      </c>
      <c r="O94" s="173">
        <f>M94*N94</f>
        <v>17500</v>
      </c>
      <c r="P94" s="173">
        <v>0</v>
      </c>
      <c r="Q94" s="339"/>
      <c r="R94" s="340"/>
      <c r="U94" s="194"/>
    </row>
    <row r="95" spans="1:22" ht="24.75" customHeight="1" x14ac:dyDescent="0.2">
      <c r="A95" s="125" t="s">
        <v>60</v>
      </c>
      <c r="B95" s="120" t="s">
        <v>17</v>
      </c>
      <c r="C95" s="279">
        <v>48</v>
      </c>
      <c r="D95" s="263">
        <v>1000</v>
      </c>
      <c r="E95" s="264">
        <f t="shared" si="25"/>
        <v>48000</v>
      </c>
      <c r="F95" s="85">
        <f>-E95+K95</f>
        <v>-37500</v>
      </c>
      <c r="G95" s="96">
        <f t="shared" si="23"/>
        <v>-0.78125</v>
      </c>
      <c r="H95" s="120" t="s">
        <v>17</v>
      </c>
      <c r="I95" s="116">
        <v>35</v>
      </c>
      <c r="J95" s="263">
        <v>300</v>
      </c>
      <c r="K95" s="344">
        <f>I95*J95</f>
        <v>10500</v>
      </c>
      <c r="L95" s="8" t="s">
        <v>17</v>
      </c>
      <c r="M95" s="9">
        <v>35</v>
      </c>
      <c r="N95" s="10">
        <v>300</v>
      </c>
      <c r="O95" s="173">
        <f>M95*N95</f>
        <v>10500</v>
      </c>
      <c r="P95" s="173">
        <v>0</v>
      </c>
      <c r="Q95" s="339"/>
      <c r="R95" s="340"/>
      <c r="U95" s="194"/>
    </row>
    <row r="96" spans="1:22" ht="24.75" customHeight="1" thickBot="1" x14ac:dyDescent="0.25">
      <c r="A96" s="125" t="s">
        <v>61</v>
      </c>
      <c r="B96" s="272" t="s">
        <v>17</v>
      </c>
      <c r="C96" s="266">
        <v>48</v>
      </c>
      <c r="D96" s="274">
        <v>800</v>
      </c>
      <c r="E96" s="264">
        <f t="shared" si="25"/>
        <v>38400</v>
      </c>
      <c r="F96" s="85">
        <f>-E96+K96</f>
        <v>-14271.029999999999</v>
      </c>
      <c r="G96" s="96">
        <f t="shared" si="23"/>
        <v>-0.37164140624999997</v>
      </c>
      <c r="H96" s="272" t="s">
        <v>17</v>
      </c>
      <c r="I96" s="273">
        <f>K96/J96</f>
        <v>40.214950000000002</v>
      </c>
      <c r="J96" s="274">
        <v>600</v>
      </c>
      <c r="K96" s="344">
        <f>O96+P96</f>
        <v>24128.97</v>
      </c>
      <c r="L96" s="24" t="s">
        <v>17</v>
      </c>
      <c r="M96" s="54">
        <v>35</v>
      </c>
      <c r="N96" s="25">
        <v>600</v>
      </c>
      <c r="O96" s="173">
        <f>M96*N96</f>
        <v>21000</v>
      </c>
      <c r="P96" s="187">
        <v>3128.9700000000003</v>
      </c>
      <c r="Q96" s="339"/>
      <c r="R96" s="340"/>
      <c r="U96" s="194"/>
    </row>
    <row r="97" spans="1:22" s="78" customFormat="1" ht="24.75" customHeight="1" thickBot="1" x14ac:dyDescent="0.25">
      <c r="A97" s="59" t="s">
        <v>192</v>
      </c>
      <c r="B97" s="60"/>
      <c r="C97" s="61"/>
      <c r="D97" s="62"/>
      <c r="E97" s="64">
        <f>SUM(E87:E96)</f>
        <v>365200</v>
      </c>
      <c r="F97" s="292">
        <f>-E97+K97</f>
        <v>-156801.91838968231</v>
      </c>
      <c r="G97" s="97">
        <f>F97/E97</f>
        <v>-0.42935903173516515</v>
      </c>
      <c r="H97" s="63"/>
      <c r="I97" s="61"/>
      <c r="J97" s="62"/>
      <c r="K97" s="353">
        <f>SUM(K87:K96)</f>
        <v>208398.08161031769</v>
      </c>
      <c r="L97" s="249"/>
      <c r="M97" s="247"/>
      <c r="N97" s="248"/>
      <c r="O97" s="250">
        <f>SUM(O87:O96)</f>
        <v>185900</v>
      </c>
      <c r="P97" s="250">
        <f>SUM(P87:P96)</f>
        <v>22498.081610317684</v>
      </c>
      <c r="Q97" s="339"/>
      <c r="R97" s="340"/>
      <c r="S97" s="68"/>
      <c r="T97" s="68"/>
      <c r="U97" s="194"/>
      <c r="V97" s="68"/>
    </row>
    <row r="98" spans="1:22" ht="24.75" customHeight="1" thickBot="1" x14ac:dyDescent="0.25">
      <c r="A98" s="29" t="s">
        <v>62</v>
      </c>
      <c r="B98" s="296"/>
      <c r="C98" s="297"/>
      <c r="D98" s="298"/>
      <c r="E98" s="264"/>
      <c r="F98" s="86"/>
      <c r="G98" s="98"/>
      <c r="H98" s="296"/>
      <c r="I98" s="297"/>
      <c r="J98" s="298"/>
      <c r="K98" s="346"/>
      <c r="L98" s="30"/>
      <c r="M98" s="31"/>
      <c r="N98" s="32"/>
      <c r="O98" s="176"/>
      <c r="P98" s="176"/>
      <c r="Q98" s="339"/>
      <c r="R98" s="340"/>
      <c r="U98" s="194"/>
    </row>
    <row r="99" spans="1:22" ht="24.75" customHeight="1" thickBot="1" x14ac:dyDescent="0.25">
      <c r="A99" s="37" t="s">
        <v>141</v>
      </c>
      <c r="B99" s="38"/>
      <c r="C99" s="39"/>
      <c r="D99" s="40"/>
      <c r="E99" s="49"/>
      <c r="F99" s="52"/>
      <c r="G99" s="99"/>
      <c r="H99" s="52"/>
      <c r="I99" s="40"/>
      <c r="J99" s="40"/>
      <c r="K99" s="354"/>
      <c r="L99" s="52"/>
      <c r="M99" s="40"/>
      <c r="N99" s="40"/>
      <c r="O99" s="178"/>
      <c r="P99" s="178"/>
      <c r="Q99" s="339"/>
      <c r="R99" s="340"/>
      <c r="U99" s="194"/>
    </row>
    <row r="100" spans="1:22" ht="24.75" customHeight="1" x14ac:dyDescent="0.2">
      <c r="A100" s="4" t="s">
        <v>63</v>
      </c>
      <c r="B100" s="33" t="s">
        <v>64</v>
      </c>
      <c r="C100" s="269">
        <v>900</v>
      </c>
      <c r="D100" s="270">
        <v>250</v>
      </c>
      <c r="E100" s="264">
        <f t="shared" ref="E100:E101" si="26">+C100*D100</f>
        <v>225000</v>
      </c>
      <c r="F100" s="85">
        <f>-E100+K100</f>
        <v>-99000.000000000015</v>
      </c>
      <c r="G100" s="96">
        <f>F100/E100</f>
        <v>-0.44000000000000006</v>
      </c>
      <c r="H100" s="117" t="s">
        <v>64</v>
      </c>
      <c r="I100" s="269">
        <v>503.99999999999994</v>
      </c>
      <c r="J100" s="270">
        <v>250</v>
      </c>
      <c r="K100" s="344">
        <f>I100*J100</f>
        <v>125999.99999999999</v>
      </c>
      <c r="L100" s="117" t="s">
        <v>64</v>
      </c>
      <c r="M100" s="34">
        <v>504</v>
      </c>
      <c r="N100" s="35">
        <v>250</v>
      </c>
      <c r="O100" s="173">
        <f t="shared" ref="O100:O101" si="27">M100*N100</f>
        <v>126000</v>
      </c>
      <c r="P100" s="174">
        <v>0</v>
      </c>
      <c r="Q100" s="339"/>
      <c r="R100" s="340"/>
      <c r="U100" s="194"/>
    </row>
    <row r="101" spans="1:22" ht="24.75" customHeight="1" x14ac:dyDescent="0.2">
      <c r="A101" s="76" t="s">
        <v>65</v>
      </c>
      <c r="B101" s="36" t="s">
        <v>66</v>
      </c>
      <c r="C101" s="279">
        <v>1050</v>
      </c>
      <c r="D101" s="291">
        <v>213</v>
      </c>
      <c r="E101" s="264">
        <f t="shared" si="26"/>
        <v>223650</v>
      </c>
      <c r="F101" s="85">
        <f>-E101+K101</f>
        <v>-79706</v>
      </c>
      <c r="G101" s="96">
        <f t="shared" ref="G101:G124" si="28">F101/E101</f>
        <v>-0.35638721216186003</v>
      </c>
      <c r="H101" s="118" t="s">
        <v>66</v>
      </c>
      <c r="I101" s="116">
        <v>604.80672268907563</v>
      </c>
      <c r="J101" s="291">
        <v>238</v>
      </c>
      <c r="K101" s="344">
        <f>I101*J101</f>
        <v>143944</v>
      </c>
      <c r="L101" s="118" t="s">
        <v>66</v>
      </c>
      <c r="M101" s="9">
        <v>588</v>
      </c>
      <c r="N101" s="19">
        <v>238</v>
      </c>
      <c r="O101" s="173">
        <f t="shared" si="27"/>
        <v>139944</v>
      </c>
      <c r="P101" s="174">
        <v>4000</v>
      </c>
      <c r="Q101" s="339"/>
      <c r="R101" s="340"/>
      <c r="U101" s="194"/>
    </row>
    <row r="102" spans="1:22" ht="24.75" customHeight="1" x14ac:dyDescent="0.2">
      <c r="A102" s="76" t="s">
        <v>67</v>
      </c>
      <c r="B102" s="36"/>
      <c r="C102" s="279"/>
      <c r="D102" s="291"/>
      <c r="E102" s="264"/>
      <c r="F102" s="85"/>
      <c r="G102" s="96"/>
      <c r="H102" s="118"/>
      <c r="I102" s="116"/>
      <c r="J102" s="291"/>
      <c r="K102" s="344"/>
      <c r="L102" s="118"/>
      <c r="M102" s="9"/>
      <c r="N102" s="19"/>
      <c r="O102" s="173"/>
      <c r="P102" s="174"/>
      <c r="Q102" s="339"/>
      <c r="R102" s="340"/>
      <c r="U102" s="194"/>
    </row>
    <row r="103" spans="1:22" ht="24.75" customHeight="1" x14ac:dyDescent="0.2">
      <c r="A103" s="124" t="s">
        <v>171</v>
      </c>
      <c r="B103" s="36" t="s">
        <v>68</v>
      </c>
      <c r="C103" s="116">
        <v>48</v>
      </c>
      <c r="D103" s="291">
        <v>250</v>
      </c>
      <c r="E103" s="264">
        <f t="shared" ref="E103:E104" si="29">+C103*D103</f>
        <v>12000</v>
      </c>
      <c r="F103" s="85">
        <f>-E103+K103</f>
        <v>-9500</v>
      </c>
      <c r="G103" s="96">
        <f t="shared" si="28"/>
        <v>-0.79166666666666663</v>
      </c>
      <c r="H103" s="118" t="s">
        <v>68</v>
      </c>
      <c r="I103" s="116">
        <f>K103/J103</f>
        <v>10</v>
      </c>
      <c r="J103" s="291">
        <v>250</v>
      </c>
      <c r="K103" s="344">
        <f>P103</f>
        <v>2500</v>
      </c>
      <c r="L103" s="118" t="s">
        <v>68</v>
      </c>
      <c r="M103" s="9">
        <v>0</v>
      </c>
      <c r="N103" s="19">
        <v>250</v>
      </c>
      <c r="O103" s="173">
        <f t="shared" ref="O103:O104" si="30">M103*N103</f>
        <v>0</v>
      </c>
      <c r="P103" s="174">
        <v>2500</v>
      </c>
      <c r="Q103" s="339"/>
      <c r="R103" s="340"/>
      <c r="U103" s="194"/>
    </row>
    <row r="104" spans="1:22" ht="24.75" customHeight="1" x14ac:dyDescent="0.2">
      <c r="A104" s="124" t="s">
        <v>172</v>
      </c>
      <c r="B104" s="36" t="s">
        <v>66</v>
      </c>
      <c r="C104" s="116">
        <v>86</v>
      </c>
      <c r="D104" s="291">
        <v>220</v>
      </c>
      <c r="E104" s="264">
        <f t="shared" si="29"/>
        <v>18920</v>
      </c>
      <c r="F104" s="85">
        <f>-E104+K104</f>
        <v>2344.1699999999983</v>
      </c>
      <c r="G104" s="96">
        <f t="shared" si="28"/>
        <v>0.12389904862579272</v>
      </c>
      <c r="H104" s="118" t="s">
        <v>66</v>
      </c>
      <c r="I104" s="116">
        <f>K104/J104</f>
        <v>96.655318181818174</v>
      </c>
      <c r="J104" s="291">
        <v>220</v>
      </c>
      <c r="K104" s="344">
        <f>O104+P104</f>
        <v>21264.17</v>
      </c>
      <c r="L104" s="118" t="s">
        <v>66</v>
      </c>
      <c r="M104" s="9">
        <v>75</v>
      </c>
      <c r="N104" s="19">
        <v>220</v>
      </c>
      <c r="O104" s="173">
        <f t="shared" si="30"/>
        <v>16500</v>
      </c>
      <c r="P104" s="174">
        <v>4764.17</v>
      </c>
      <c r="Q104" s="339"/>
      <c r="R104" s="340"/>
      <c r="U104" s="194"/>
    </row>
    <row r="105" spans="1:22" ht="24.75" customHeight="1" x14ac:dyDescent="0.2">
      <c r="A105" s="76" t="s">
        <v>69</v>
      </c>
      <c r="B105" s="299"/>
      <c r="C105" s="116"/>
      <c r="D105" s="291"/>
      <c r="E105" s="264"/>
      <c r="F105" s="85"/>
      <c r="G105" s="96"/>
      <c r="H105" s="300"/>
      <c r="I105" s="116"/>
      <c r="J105" s="291"/>
      <c r="K105" s="344"/>
      <c r="L105" s="119"/>
      <c r="M105" s="9"/>
      <c r="N105" s="19"/>
      <c r="O105" s="173"/>
      <c r="P105" s="174"/>
      <c r="Q105" s="339"/>
      <c r="R105" s="340"/>
      <c r="U105" s="194"/>
    </row>
    <row r="106" spans="1:22" ht="24.75" customHeight="1" x14ac:dyDescent="0.2">
      <c r="A106" s="124" t="s">
        <v>70</v>
      </c>
      <c r="B106" s="36" t="s">
        <v>68</v>
      </c>
      <c r="C106" s="116">
        <v>68</v>
      </c>
      <c r="D106" s="291">
        <v>250</v>
      </c>
      <c r="E106" s="264">
        <f t="shared" ref="E106:E107" si="31">+C106*D106</f>
        <v>17000</v>
      </c>
      <c r="F106" s="85">
        <f>-E106+K106</f>
        <v>-17000</v>
      </c>
      <c r="G106" s="96">
        <f t="shared" si="28"/>
        <v>-1</v>
      </c>
      <c r="H106" s="118" t="s">
        <v>68</v>
      </c>
      <c r="I106" s="116">
        <v>0</v>
      </c>
      <c r="J106" s="291">
        <v>250</v>
      </c>
      <c r="K106" s="344">
        <f t="shared" ref="K106" si="32">I106*J106</f>
        <v>0</v>
      </c>
      <c r="L106" s="118" t="s">
        <v>68</v>
      </c>
      <c r="M106" s="9">
        <v>0</v>
      </c>
      <c r="N106" s="19">
        <v>250</v>
      </c>
      <c r="O106" s="173">
        <f t="shared" ref="O106:O107" si="33">M106*N106</f>
        <v>0</v>
      </c>
      <c r="P106" s="174">
        <v>0</v>
      </c>
      <c r="Q106" s="339"/>
      <c r="R106" s="340"/>
      <c r="U106" s="194"/>
    </row>
    <row r="107" spans="1:22" ht="24.75" customHeight="1" x14ac:dyDescent="0.2">
      <c r="A107" s="124" t="s">
        <v>71</v>
      </c>
      <c r="B107" s="36" t="s">
        <v>66</v>
      </c>
      <c r="C107" s="116">
        <v>151</v>
      </c>
      <c r="D107" s="291">
        <v>213</v>
      </c>
      <c r="E107" s="264">
        <f t="shared" si="31"/>
        <v>32163</v>
      </c>
      <c r="F107" s="85">
        <f>-E107+K107</f>
        <v>-3471.4199999999983</v>
      </c>
      <c r="G107" s="96">
        <f t="shared" si="28"/>
        <v>-0.10793209588657769</v>
      </c>
      <c r="H107" s="118" t="s">
        <v>66</v>
      </c>
      <c r="I107" s="116">
        <f>K107/J107</f>
        <v>120.55285714285715</v>
      </c>
      <c r="J107" s="291">
        <v>238</v>
      </c>
      <c r="K107" s="344">
        <f>O107+P107</f>
        <v>28691.58</v>
      </c>
      <c r="L107" s="118" t="s">
        <v>66</v>
      </c>
      <c r="M107" s="9">
        <v>100</v>
      </c>
      <c r="N107" s="19">
        <v>238</v>
      </c>
      <c r="O107" s="173">
        <f t="shared" si="33"/>
        <v>23800</v>
      </c>
      <c r="P107" s="174">
        <v>4891.58</v>
      </c>
      <c r="Q107" s="339"/>
      <c r="R107" s="340"/>
      <c r="U107" s="194"/>
    </row>
    <row r="108" spans="1:22" s="67" customFormat="1" ht="24.75" customHeight="1" x14ac:dyDescent="0.2">
      <c r="A108" s="76" t="s">
        <v>72</v>
      </c>
      <c r="B108" s="118"/>
      <c r="C108" s="116"/>
      <c r="D108" s="291"/>
      <c r="E108" s="264"/>
      <c r="F108" s="85"/>
      <c r="G108" s="96"/>
      <c r="H108" s="118"/>
      <c r="I108" s="116"/>
      <c r="J108" s="291"/>
      <c r="K108" s="344"/>
      <c r="L108" s="18"/>
      <c r="M108" s="9"/>
      <c r="N108" s="19"/>
      <c r="O108" s="173"/>
      <c r="P108" s="174"/>
      <c r="Q108" s="339"/>
      <c r="R108" s="340"/>
      <c r="S108" s="68"/>
      <c r="T108" s="68"/>
      <c r="U108" s="194"/>
      <c r="V108" s="68"/>
    </row>
    <row r="109" spans="1:22" s="67" customFormat="1" ht="24.75" customHeight="1" x14ac:dyDescent="0.2">
      <c r="A109" s="124" t="s">
        <v>73</v>
      </c>
      <c r="B109" s="118" t="s">
        <v>39</v>
      </c>
      <c r="C109" s="116">
        <v>75</v>
      </c>
      <c r="D109" s="291">
        <v>1200</v>
      </c>
      <c r="E109" s="264">
        <f t="shared" ref="E109:E115" si="34">+C109*D109</f>
        <v>90000</v>
      </c>
      <c r="F109" s="85">
        <f t="shared" ref="F109:F116" si="35">-E109+K109</f>
        <v>-35400</v>
      </c>
      <c r="G109" s="96">
        <f t="shared" si="28"/>
        <v>-0.39333333333333331</v>
      </c>
      <c r="H109" s="118" t="s">
        <v>39</v>
      </c>
      <c r="I109" s="116">
        <v>42</v>
      </c>
      <c r="J109" s="291">
        <v>1300</v>
      </c>
      <c r="K109" s="344">
        <f t="shared" ref="K109" si="36">I109*J109</f>
        <v>54600</v>
      </c>
      <c r="L109" s="18" t="s">
        <v>39</v>
      </c>
      <c r="M109" s="9">
        <v>42</v>
      </c>
      <c r="N109" s="19">
        <v>1300</v>
      </c>
      <c r="O109" s="173">
        <f t="shared" ref="O109:O115" si="37">M109*N109</f>
        <v>54600</v>
      </c>
      <c r="P109" s="174">
        <v>0</v>
      </c>
      <c r="Q109" s="339"/>
      <c r="R109" s="340"/>
      <c r="S109" s="68"/>
      <c r="T109" s="68"/>
      <c r="U109" s="194"/>
      <c r="V109" s="68"/>
    </row>
    <row r="110" spans="1:22" s="67" customFormat="1" ht="24.75" customHeight="1" x14ac:dyDescent="0.2">
      <c r="A110" s="124" t="s">
        <v>74</v>
      </c>
      <c r="B110" s="118" t="s">
        <v>39</v>
      </c>
      <c r="C110" s="116">
        <v>48</v>
      </c>
      <c r="D110" s="291">
        <v>1200</v>
      </c>
      <c r="E110" s="264">
        <f t="shared" si="34"/>
        <v>57600</v>
      </c>
      <c r="F110" s="85">
        <f t="shared" si="35"/>
        <v>-22444.705000000002</v>
      </c>
      <c r="G110" s="96">
        <f t="shared" si="28"/>
        <v>-0.38966501736111114</v>
      </c>
      <c r="H110" s="118" t="s">
        <v>39</v>
      </c>
      <c r="I110" s="116">
        <f t="shared" ref="I110:I116" si="38">K110/J110</f>
        <v>27.042534615384614</v>
      </c>
      <c r="J110" s="291">
        <v>1300</v>
      </c>
      <c r="K110" s="344">
        <f t="shared" ref="K110:K116" si="39">O110+P110</f>
        <v>35155.294999999998</v>
      </c>
      <c r="L110" s="18" t="s">
        <v>39</v>
      </c>
      <c r="M110" s="9">
        <v>20</v>
      </c>
      <c r="N110" s="19">
        <v>1300</v>
      </c>
      <c r="O110" s="173">
        <f>M110*N110</f>
        <v>26000</v>
      </c>
      <c r="P110" s="174">
        <v>9155.2950000000001</v>
      </c>
      <c r="Q110" s="339"/>
      <c r="R110" s="340"/>
      <c r="S110" s="68"/>
      <c r="T110" s="68"/>
      <c r="U110" s="194"/>
      <c r="V110" s="68"/>
    </row>
    <row r="111" spans="1:22" s="67" customFormat="1" ht="24.75" customHeight="1" x14ac:dyDescent="0.2">
      <c r="A111" s="124" t="s">
        <v>75</v>
      </c>
      <c r="B111" s="118" t="s">
        <v>43</v>
      </c>
      <c r="C111" s="116">
        <v>64</v>
      </c>
      <c r="D111" s="291">
        <v>350</v>
      </c>
      <c r="E111" s="264">
        <f t="shared" si="34"/>
        <v>22400</v>
      </c>
      <c r="F111" s="85">
        <f t="shared" si="35"/>
        <v>23480.739999999998</v>
      </c>
      <c r="G111" s="96">
        <f t="shared" si="28"/>
        <v>1.0482473214285712</v>
      </c>
      <c r="H111" s="118" t="s">
        <v>43</v>
      </c>
      <c r="I111" s="116">
        <f t="shared" si="38"/>
        <v>131.08782857142856</v>
      </c>
      <c r="J111" s="291">
        <v>350</v>
      </c>
      <c r="K111" s="344">
        <f t="shared" si="39"/>
        <v>45880.74</v>
      </c>
      <c r="L111" s="18" t="s">
        <v>43</v>
      </c>
      <c r="M111" s="9">
        <v>120</v>
      </c>
      <c r="N111" s="19">
        <v>350</v>
      </c>
      <c r="O111" s="173">
        <f t="shared" si="37"/>
        <v>42000</v>
      </c>
      <c r="P111" s="174">
        <v>3880.7400000000002</v>
      </c>
      <c r="Q111" s="339"/>
      <c r="R111" s="340"/>
      <c r="S111" s="68"/>
      <c r="T111" s="68"/>
      <c r="U111" s="194"/>
      <c r="V111" s="68"/>
    </row>
    <row r="112" spans="1:22" s="67" customFormat="1" ht="24.75" customHeight="1" x14ac:dyDescent="0.2">
      <c r="A112" s="124" t="s">
        <v>76</v>
      </c>
      <c r="B112" s="118" t="s">
        <v>43</v>
      </c>
      <c r="C112" s="116">
        <v>37</v>
      </c>
      <c r="D112" s="291">
        <v>350</v>
      </c>
      <c r="E112" s="264">
        <f t="shared" si="34"/>
        <v>12950</v>
      </c>
      <c r="F112" s="85">
        <f t="shared" si="35"/>
        <v>5389.7450000000026</v>
      </c>
      <c r="G112" s="96">
        <f t="shared" si="28"/>
        <v>0.41619652509652527</v>
      </c>
      <c r="H112" s="118" t="s">
        <v>43</v>
      </c>
      <c r="I112" s="116">
        <f t="shared" si="38"/>
        <v>52.399271428571438</v>
      </c>
      <c r="J112" s="291">
        <v>350</v>
      </c>
      <c r="K112" s="344">
        <f t="shared" si="39"/>
        <v>18339.745000000003</v>
      </c>
      <c r="L112" s="18" t="s">
        <v>43</v>
      </c>
      <c r="M112" s="9">
        <v>37</v>
      </c>
      <c r="N112" s="19">
        <v>350</v>
      </c>
      <c r="O112" s="173">
        <f t="shared" si="37"/>
        <v>12950</v>
      </c>
      <c r="P112" s="174">
        <v>5389.7450000000008</v>
      </c>
      <c r="Q112" s="339"/>
      <c r="R112" s="340"/>
      <c r="S112" s="68"/>
      <c r="T112" s="68"/>
      <c r="U112" s="194"/>
      <c r="V112" s="68"/>
    </row>
    <row r="113" spans="1:22" s="67" customFormat="1" ht="24.75" customHeight="1" x14ac:dyDescent="0.2">
      <c r="A113" s="124" t="s">
        <v>77</v>
      </c>
      <c r="B113" s="118" t="s">
        <v>43</v>
      </c>
      <c r="C113" s="279">
        <v>50</v>
      </c>
      <c r="D113" s="291">
        <v>200</v>
      </c>
      <c r="E113" s="264">
        <f t="shared" si="34"/>
        <v>10000</v>
      </c>
      <c r="F113" s="85">
        <f t="shared" si="35"/>
        <v>-4746.53</v>
      </c>
      <c r="G113" s="96">
        <f t="shared" si="28"/>
        <v>-0.47465299999999999</v>
      </c>
      <c r="H113" s="118" t="s">
        <v>43</v>
      </c>
      <c r="I113" s="116">
        <f t="shared" si="38"/>
        <v>15.009914285714286</v>
      </c>
      <c r="J113" s="291">
        <v>350</v>
      </c>
      <c r="K113" s="344">
        <f t="shared" si="39"/>
        <v>5253.47</v>
      </c>
      <c r="L113" s="18" t="s">
        <v>43</v>
      </c>
      <c r="M113" s="9">
        <v>15</v>
      </c>
      <c r="N113" s="19">
        <v>350</v>
      </c>
      <c r="O113" s="173">
        <f t="shared" si="37"/>
        <v>5250</v>
      </c>
      <c r="P113" s="174">
        <v>3.47</v>
      </c>
      <c r="Q113" s="339"/>
      <c r="R113" s="340"/>
      <c r="S113" s="68"/>
      <c r="T113" s="68"/>
      <c r="U113" s="194"/>
      <c r="V113" s="68"/>
    </row>
    <row r="114" spans="1:22" s="67" customFormat="1" ht="24.75" customHeight="1" x14ac:dyDescent="0.2">
      <c r="A114" s="125" t="s">
        <v>78</v>
      </c>
      <c r="B114" s="118" t="s">
        <v>43</v>
      </c>
      <c r="C114" s="279">
        <v>100</v>
      </c>
      <c r="D114" s="291">
        <v>100</v>
      </c>
      <c r="E114" s="264">
        <f t="shared" si="34"/>
        <v>10000</v>
      </c>
      <c r="F114" s="85">
        <f t="shared" si="35"/>
        <v>-2714.91</v>
      </c>
      <c r="G114" s="96">
        <f t="shared" si="28"/>
        <v>-0.27149099999999998</v>
      </c>
      <c r="H114" s="118" t="s">
        <v>43</v>
      </c>
      <c r="I114" s="116">
        <f t="shared" si="38"/>
        <v>72.850899999999996</v>
      </c>
      <c r="J114" s="291">
        <v>100</v>
      </c>
      <c r="K114" s="344">
        <f t="shared" si="39"/>
        <v>7285.09</v>
      </c>
      <c r="L114" s="18" t="s">
        <v>43</v>
      </c>
      <c r="M114" s="9">
        <v>62</v>
      </c>
      <c r="N114" s="19">
        <v>100</v>
      </c>
      <c r="O114" s="173">
        <f t="shared" si="37"/>
        <v>6200</v>
      </c>
      <c r="P114" s="174">
        <v>1085.0900000000001</v>
      </c>
      <c r="Q114" s="339"/>
      <c r="R114" s="340"/>
      <c r="S114" s="68"/>
      <c r="T114" s="68"/>
      <c r="U114" s="194"/>
      <c r="V114" s="68"/>
    </row>
    <row r="115" spans="1:22" s="67" customFormat="1" ht="24.75" customHeight="1" x14ac:dyDescent="0.2">
      <c r="A115" s="125" t="s">
        <v>79</v>
      </c>
      <c r="B115" s="118" t="s">
        <v>43</v>
      </c>
      <c r="C115" s="279">
        <v>100</v>
      </c>
      <c r="D115" s="291">
        <v>150</v>
      </c>
      <c r="E115" s="264">
        <f t="shared" si="34"/>
        <v>15000</v>
      </c>
      <c r="F115" s="85">
        <f t="shared" si="35"/>
        <v>-5194.6000000000004</v>
      </c>
      <c r="G115" s="96">
        <f>F115/E115</f>
        <v>-0.34630666666666671</v>
      </c>
      <c r="H115" s="118" t="s">
        <v>43</v>
      </c>
      <c r="I115" s="116">
        <f t="shared" si="38"/>
        <v>65.36933333333333</v>
      </c>
      <c r="J115" s="291">
        <v>150</v>
      </c>
      <c r="K115" s="344">
        <f t="shared" si="39"/>
        <v>9805.4</v>
      </c>
      <c r="L115" s="18" t="s">
        <v>43</v>
      </c>
      <c r="M115" s="9">
        <v>62</v>
      </c>
      <c r="N115" s="19">
        <v>150</v>
      </c>
      <c r="O115" s="173">
        <f t="shared" si="37"/>
        <v>9300</v>
      </c>
      <c r="P115" s="174">
        <v>505.4</v>
      </c>
      <c r="Q115" s="339"/>
      <c r="R115" s="340"/>
      <c r="S115" s="68"/>
      <c r="T115" s="68"/>
      <c r="U115" s="194"/>
      <c r="V115" s="68"/>
    </row>
    <row r="116" spans="1:22" s="67" customFormat="1" ht="24.75" customHeight="1" x14ac:dyDescent="0.2">
      <c r="A116" s="125" t="s">
        <v>256</v>
      </c>
      <c r="B116" s="118" t="s">
        <v>39</v>
      </c>
      <c r="C116" s="116">
        <v>0</v>
      </c>
      <c r="D116" s="291">
        <v>0</v>
      </c>
      <c r="E116" s="264">
        <f>+C116*D116</f>
        <v>0</v>
      </c>
      <c r="F116" s="85">
        <f t="shared" si="35"/>
        <v>21600</v>
      </c>
      <c r="G116" s="96" t="e">
        <f>F116/E116</f>
        <v>#DIV/0!</v>
      </c>
      <c r="H116" s="118" t="s">
        <v>39</v>
      </c>
      <c r="I116" s="116">
        <f t="shared" si="38"/>
        <v>18</v>
      </c>
      <c r="J116" s="291">
        <v>1200</v>
      </c>
      <c r="K116" s="344">
        <f t="shared" si="39"/>
        <v>21600</v>
      </c>
      <c r="L116" s="18" t="s">
        <v>39</v>
      </c>
      <c r="M116" s="9">
        <f>1*6*3</f>
        <v>18</v>
      </c>
      <c r="N116" s="19">
        <v>1200</v>
      </c>
      <c r="O116" s="173">
        <f>M116*N116</f>
        <v>21600</v>
      </c>
      <c r="P116" s="174">
        <v>0</v>
      </c>
      <c r="Q116" s="339"/>
      <c r="R116" s="340"/>
      <c r="S116" s="68"/>
      <c r="T116" s="68"/>
      <c r="U116" s="194"/>
      <c r="V116" s="68"/>
    </row>
    <row r="117" spans="1:22" s="67" customFormat="1" ht="24.75" customHeight="1" x14ac:dyDescent="0.2">
      <c r="A117" s="73" t="s">
        <v>133</v>
      </c>
      <c r="B117" s="118"/>
      <c r="C117" s="279"/>
      <c r="D117" s="291"/>
      <c r="E117" s="264"/>
      <c r="F117" s="85"/>
      <c r="G117" s="96"/>
      <c r="H117" s="118"/>
      <c r="I117" s="116"/>
      <c r="J117" s="291"/>
      <c r="K117" s="344"/>
      <c r="L117" s="18"/>
      <c r="M117" s="9"/>
      <c r="N117" s="19"/>
      <c r="O117" s="173"/>
      <c r="P117" s="174"/>
      <c r="Q117" s="339"/>
      <c r="R117" s="340"/>
      <c r="S117" s="68"/>
      <c r="T117" s="68"/>
      <c r="U117" s="194"/>
      <c r="V117" s="68"/>
    </row>
    <row r="118" spans="1:22" s="67" customFormat="1" ht="24.75" customHeight="1" x14ac:dyDescent="0.2">
      <c r="A118" s="125" t="s">
        <v>80</v>
      </c>
      <c r="B118" s="118" t="s">
        <v>29</v>
      </c>
      <c r="C118" s="279">
        <v>1300</v>
      </c>
      <c r="D118" s="291">
        <v>203</v>
      </c>
      <c r="E118" s="264">
        <f t="shared" ref="E118" si="40">+C118*D118</f>
        <v>263900</v>
      </c>
      <c r="F118" s="85">
        <f>-E118+K118</f>
        <v>96588</v>
      </c>
      <c r="G118" s="96">
        <f t="shared" si="28"/>
        <v>0.36600227358848048</v>
      </c>
      <c r="H118" s="118" t="s">
        <v>29</v>
      </c>
      <c r="I118" s="116">
        <f>K118/J118</f>
        <v>1638.5818181818181</v>
      </c>
      <c r="J118" s="291">
        <v>220</v>
      </c>
      <c r="K118" s="344">
        <f>O118+P118</f>
        <v>360488</v>
      </c>
      <c r="L118" s="18" t="s">
        <v>29</v>
      </c>
      <c r="M118" s="9">
        <v>1300</v>
      </c>
      <c r="N118" s="19">
        <v>220</v>
      </c>
      <c r="O118" s="173">
        <f t="shared" ref="O118" si="41">M118*N118</f>
        <v>286000</v>
      </c>
      <c r="P118" s="174">
        <v>74488</v>
      </c>
      <c r="Q118" s="339"/>
      <c r="R118" s="340"/>
      <c r="S118" s="68"/>
      <c r="T118" s="68"/>
      <c r="U118" s="194"/>
      <c r="V118" s="68"/>
    </row>
    <row r="119" spans="1:22" s="67" customFormat="1" ht="24.75" customHeight="1" x14ac:dyDescent="0.2">
      <c r="A119" s="125" t="s">
        <v>337</v>
      </c>
      <c r="B119" s="118"/>
      <c r="C119" s="279"/>
      <c r="D119" s="291"/>
      <c r="E119" s="264"/>
      <c r="F119" s="85"/>
      <c r="G119" s="96"/>
      <c r="H119" s="118"/>
      <c r="I119" s="279"/>
      <c r="J119" s="291"/>
      <c r="K119" s="344"/>
      <c r="L119" s="18"/>
      <c r="M119" s="11"/>
      <c r="N119" s="19"/>
      <c r="O119" s="173"/>
      <c r="P119" s="174"/>
      <c r="Q119" s="339"/>
      <c r="R119" s="340"/>
      <c r="S119" s="68"/>
      <c r="T119" s="68"/>
      <c r="U119" s="194"/>
      <c r="V119" s="68"/>
    </row>
    <row r="120" spans="1:22" s="67" customFormat="1" ht="24.75" customHeight="1" x14ac:dyDescent="0.2">
      <c r="A120" s="125" t="s">
        <v>81</v>
      </c>
      <c r="B120" s="118" t="s">
        <v>15</v>
      </c>
      <c r="C120" s="279">
        <v>40</v>
      </c>
      <c r="D120" s="291">
        <v>500</v>
      </c>
      <c r="E120" s="264">
        <f t="shared" ref="E120:E121" si="42">+C120*D120</f>
        <v>20000</v>
      </c>
      <c r="F120" s="85">
        <f>-E120+K120</f>
        <v>7980.77</v>
      </c>
      <c r="G120" s="96">
        <f t="shared" si="28"/>
        <v>0.39903850000000002</v>
      </c>
      <c r="H120" s="118" t="s">
        <v>15</v>
      </c>
      <c r="I120" s="279">
        <f>K120/J120</f>
        <v>55.961539999999999</v>
      </c>
      <c r="J120" s="291">
        <v>500</v>
      </c>
      <c r="K120" s="344">
        <f>O120+P120</f>
        <v>27980.77</v>
      </c>
      <c r="L120" s="18" t="s">
        <v>15</v>
      </c>
      <c r="M120" s="9">
        <v>30</v>
      </c>
      <c r="N120" s="19">
        <v>500</v>
      </c>
      <c r="O120" s="173">
        <f t="shared" ref="O120:O121" si="43">M120*N120</f>
        <v>15000</v>
      </c>
      <c r="P120" s="174">
        <v>12980.77</v>
      </c>
      <c r="Q120" s="339"/>
      <c r="R120" s="340"/>
      <c r="S120" s="68"/>
      <c r="T120" s="68"/>
      <c r="U120" s="194"/>
      <c r="V120" s="68"/>
    </row>
    <row r="121" spans="1:22" s="67" customFormat="1" ht="24.75" customHeight="1" x14ac:dyDescent="0.2">
      <c r="A121" s="125" t="s">
        <v>198</v>
      </c>
      <c r="B121" s="118" t="s">
        <v>15</v>
      </c>
      <c r="C121" s="279">
        <v>40</v>
      </c>
      <c r="D121" s="291">
        <v>800</v>
      </c>
      <c r="E121" s="264">
        <f t="shared" si="42"/>
        <v>32000</v>
      </c>
      <c r="F121" s="85">
        <f>-E121+K121</f>
        <v>48292.850000000006</v>
      </c>
      <c r="G121" s="96">
        <f t="shared" si="28"/>
        <v>1.5091515625000003</v>
      </c>
      <c r="H121" s="118" t="s">
        <v>15</v>
      </c>
      <c r="I121" s="279">
        <f>K121/J121</f>
        <v>100.36606250000001</v>
      </c>
      <c r="J121" s="291">
        <v>800</v>
      </c>
      <c r="K121" s="344">
        <f>O121+P121</f>
        <v>80292.850000000006</v>
      </c>
      <c r="L121" s="18" t="s">
        <v>15</v>
      </c>
      <c r="M121" s="11">
        <v>80</v>
      </c>
      <c r="N121" s="19">
        <v>800</v>
      </c>
      <c r="O121" s="173">
        <f t="shared" si="43"/>
        <v>64000</v>
      </c>
      <c r="P121" s="174">
        <v>16292.85</v>
      </c>
      <c r="Q121" s="339"/>
      <c r="R121" s="340"/>
      <c r="S121" s="68"/>
      <c r="T121" s="68"/>
      <c r="U121" s="194"/>
      <c r="V121" s="68"/>
    </row>
    <row r="122" spans="1:22" s="67" customFormat="1" ht="24.75" customHeight="1" x14ac:dyDescent="0.2">
      <c r="A122" s="73" t="s">
        <v>82</v>
      </c>
      <c r="B122" s="118"/>
      <c r="C122" s="279"/>
      <c r="D122" s="291"/>
      <c r="E122" s="264"/>
      <c r="F122" s="85"/>
      <c r="G122" s="96"/>
      <c r="H122" s="118"/>
      <c r="I122" s="279"/>
      <c r="J122" s="291"/>
      <c r="K122" s="344"/>
      <c r="L122" s="18"/>
      <c r="M122" s="11"/>
      <c r="N122" s="19"/>
      <c r="O122" s="173"/>
      <c r="P122" s="174"/>
      <c r="Q122" s="339"/>
      <c r="R122" s="340"/>
      <c r="S122" s="68"/>
      <c r="T122" s="68"/>
      <c r="U122" s="194"/>
      <c r="V122" s="68"/>
    </row>
    <row r="123" spans="1:22" s="67" customFormat="1" ht="24.75" customHeight="1" x14ac:dyDescent="0.2">
      <c r="A123" s="125" t="s">
        <v>83</v>
      </c>
      <c r="B123" s="118" t="s">
        <v>84</v>
      </c>
      <c r="C123" s="279">
        <v>5000</v>
      </c>
      <c r="D123" s="291">
        <v>15</v>
      </c>
      <c r="E123" s="264">
        <f t="shared" ref="E123:E124" si="44">+C123*D123</f>
        <v>75000</v>
      </c>
      <c r="F123" s="85">
        <f>-E123+K123</f>
        <v>-51600</v>
      </c>
      <c r="G123" s="96">
        <f t="shared" si="28"/>
        <v>-0.68799999999999994</v>
      </c>
      <c r="H123" s="118" t="s">
        <v>84</v>
      </c>
      <c r="I123" s="116">
        <f>K123/J123</f>
        <v>780</v>
      </c>
      <c r="J123" s="263">
        <v>30</v>
      </c>
      <c r="K123" s="344">
        <f>(1500*J123)-K116</f>
        <v>23400</v>
      </c>
      <c r="L123" s="18" t="s">
        <v>84</v>
      </c>
      <c r="M123" s="11">
        <v>1500</v>
      </c>
      <c r="N123" s="10">
        <v>30</v>
      </c>
      <c r="O123" s="173">
        <f>(M123*N123)-O116</f>
        <v>23400</v>
      </c>
      <c r="P123" s="174">
        <v>0</v>
      </c>
      <c r="Q123" s="339"/>
      <c r="R123" s="340"/>
      <c r="S123" s="68"/>
      <c r="T123" s="68"/>
      <c r="U123" s="194"/>
      <c r="V123" s="68"/>
    </row>
    <row r="124" spans="1:22" s="67" customFormat="1" ht="24.75" customHeight="1" thickBot="1" x14ac:dyDescent="0.25">
      <c r="A124" s="80" t="s">
        <v>134</v>
      </c>
      <c r="B124" s="265" t="s">
        <v>85</v>
      </c>
      <c r="C124" s="266">
        <v>300</v>
      </c>
      <c r="D124" s="267">
        <v>20</v>
      </c>
      <c r="E124" s="264">
        <f t="shared" si="44"/>
        <v>6000</v>
      </c>
      <c r="F124" s="85">
        <f>-E124+K124</f>
        <v>-2000</v>
      </c>
      <c r="G124" s="96">
        <f t="shared" si="28"/>
        <v>-0.33333333333333331</v>
      </c>
      <c r="H124" s="265" t="s">
        <v>85</v>
      </c>
      <c r="I124" s="279">
        <f>K124/J124</f>
        <v>200</v>
      </c>
      <c r="J124" s="267">
        <v>20</v>
      </c>
      <c r="K124" s="344">
        <f>O124+P124</f>
        <v>4000</v>
      </c>
      <c r="L124" s="20" t="s">
        <v>85</v>
      </c>
      <c r="M124" s="21">
        <v>200</v>
      </c>
      <c r="N124" s="22">
        <v>20</v>
      </c>
      <c r="O124" s="173">
        <f>M124*N124</f>
        <v>4000</v>
      </c>
      <c r="P124" s="174">
        <v>0</v>
      </c>
      <c r="Q124" s="339"/>
      <c r="R124" s="340"/>
      <c r="S124" s="68"/>
      <c r="T124" s="68"/>
      <c r="U124" s="194"/>
      <c r="V124" s="68"/>
    </row>
    <row r="125" spans="1:22" s="70" customFormat="1" ht="24.75" customHeight="1" thickBot="1" x14ac:dyDescent="0.25">
      <c r="A125" s="59" t="s">
        <v>86</v>
      </c>
      <c r="B125" s="60"/>
      <c r="C125" s="61"/>
      <c r="D125" s="62"/>
      <c r="E125" s="64">
        <f>SUM(E100:E124)</f>
        <v>1143583</v>
      </c>
      <c r="F125" s="89">
        <f>-E125+K125</f>
        <v>-127101.89000000001</v>
      </c>
      <c r="G125" s="110">
        <f>F125/E125</f>
        <v>-0.11114356369410879</v>
      </c>
      <c r="H125" s="63"/>
      <c r="I125" s="61"/>
      <c r="J125" s="62"/>
      <c r="K125" s="353">
        <f>SUM(K100:K124)</f>
        <v>1016481.11</v>
      </c>
      <c r="L125" s="63"/>
      <c r="M125" s="61"/>
      <c r="N125" s="62"/>
      <c r="O125" s="175">
        <f>SUM(O100:O124)</f>
        <v>876544</v>
      </c>
      <c r="P125" s="175">
        <f>SUM(P100:P124)</f>
        <v>139937.10999999999</v>
      </c>
      <c r="Q125" s="339"/>
      <c r="R125" s="340"/>
      <c r="S125" s="68"/>
      <c r="T125" s="68"/>
      <c r="U125" s="194"/>
      <c r="V125" s="68"/>
    </row>
    <row r="126" spans="1:22" s="67" customFormat="1" ht="24" customHeight="1" thickBot="1" x14ac:dyDescent="0.25">
      <c r="A126" s="37" t="s">
        <v>87</v>
      </c>
      <c r="B126" s="38"/>
      <c r="C126" s="39"/>
      <c r="D126" s="40"/>
      <c r="E126" s="49"/>
      <c r="F126" s="52"/>
      <c r="G126" s="99"/>
      <c r="H126" s="52"/>
      <c r="I126" s="40"/>
      <c r="J126" s="40"/>
      <c r="K126" s="354"/>
      <c r="L126" s="52"/>
      <c r="M126" s="40"/>
      <c r="N126" s="40"/>
      <c r="O126" s="178"/>
      <c r="P126" s="178"/>
      <c r="Q126" s="339"/>
      <c r="R126" s="340"/>
      <c r="S126" s="68"/>
      <c r="T126" s="68"/>
      <c r="U126" s="194"/>
      <c r="V126" s="68"/>
    </row>
    <row r="127" spans="1:22" s="67" customFormat="1" ht="24" customHeight="1" x14ac:dyDescent="0.2">
      <c r="A127" s="81" t="s">
        <v>88</v>
      </c>
      <c r="B127" s="33" t="s">
        <v>68</v>
      </c>
      <c r="C127" s="278">
        <v>380</v>
      </c>
      <c r="D127" s="270">
        <v>250</v>
      </c>
      <c r="E127" s="264">
        <f t="shared" ref="E127:E128" si="45">+C127*D127</f>
        <v>95000</v>
      </c>
      <c r="F127" s="85">
        <f>-E127+K127</f>
        <v>-25700</v>
      </c>
      <c r="G127" s="96">
        <f>F127/E127</f>
        <v>-0.27052631578947367</v>
      </c>
      <c r="H127" s="117" t="s">
        <v>68</v>
      </c>
      <c r="I127" s="269">
        <v>277.2</v>
      </c>
      <c r="J127" s="270">
        <v>250</v>
      </c>
      <c r="K127" s="344">
        <f>I127*J127</f>
        <v>69300</v>
      </c>
      <c r="L127" s="117" t="s">
        <v>68</v>
      </c>
      <c r="M127" s="34">
        <v>277</v>
      </c>
      <c r="N127" s="35">
        <v>250</v>
      </c>
      <c r="O127" s="173">
        <f>M127*N127</f>
        <v>69250</v>
      </c>
      <c r="P127" s="174">
        <v>0</v>
      </c>
      <c r="Q127" s="339"/>
      <c r="R127" s="340"/>
      <c r="S127" s="68"/>
      <c r="T127" s="68"/>
      <c r="U127" s="194"/>
      <c r="V127" s="68"/>
    </row>
    <row r="128" spans="1:22" s="67" customFormat="1" ht="24" customHeight="1" x14ac:dyDescent="0.2">
      <c r="A128" s="73" t="s">
        <v>89</v>
      </c>
      <c r="B128" s="15" t="s">
        <v>66</v>
      </c>
      <c r="C128" s="116">
        <v>443</v>
      </c>
      <c r="D128" s="263">
        <v>213</v>
      </c>
      <c r="E128" s="264">
        <f t="shared" si="45"/>
        <v>94359</v>
      </c>
      <c r="F128" s="85">
        <f>-E128+K128</f>
        <v>-12389.800000000003</v>
      </c>
      <c r="G128" s="96">
        <f t="shared" ref="G128:G151" si="46">F128/E128</f>
        <v>-0.13130490997149188</v>
      </c>
      <c r="H128" s="120" t="s">
        <v>66</v>
      </c>
      <c r="I128" s="269">
        <v>344.40840336134454</v>
      </c>
      <c r="J128" s="263">
        <v>238</v>
      </c>
      <c r="K128" s="344">
        <f>I128*J128</f>
        <v>81969.2</v>
      </c>
      <c r="L128" s="120" t="s">
        <v>66</v>
      </c>
      <c r="M128" s="9">
        <v>323</v>
      </c>
      <c r="N128" s="10">
        <v>238</v>
      </c>
      <c r="O128" s="173">
        <f>M128*N128</f>
        <v>76874</v>
      </c>
      <c r="P128" s="174">
        <v>5000</v>
      </c>
      <c r="Q128" s="339"/>
      <c r="R128" s="340"/>
      <c r="S128" s="68"/>
      <c r="T128" s="68"/>
      <c r="U128" s="194"/>
      <c r="V128" s="68"/>
    </row>
    <row r="129" spans="1:22" s="67" customFormat="1" ht="24" customHeight="1" x14ac:dyDescent="0.2">
      <c r="A129" s="73" t="s">
        <v>90</v>
      </c>
      <c r="B129" s="301"/>
      <c r="C129" s="116"/>
      <c r="D129" s="263"/>
      <c r="E129" s="264"/>
      <c r="F129" s="85"/>
      <c r="G129" s="96"/>
      <c r="H129" s="302"/>
      <c r="I129" s="116"/>
      <c r="J129" s="263"/>
      <c r="K129" s="344"/>
      <c r="L129" s="121"/>
      <c r="M129" s="9"/>
      <c r="N129" s="10"/>
      <c r="O129" s="173"/>
      <c r="P129" s="174"/>
      <c r="Q129" s="339"/>
      <c r="R129" s="340"/>
      <c r="S129" s="68"/>
      <c r="T129" s="68"/>
      <c r="U129" s="194"/>
      <c r="V129" s="68"/>
    </row>
    <row r="130" spans="1:22" s="67" customFormat="1" ht="24" customHeight="1" x14ac:dyDescent="0.2">
      <c r="A130" s="125" t="s">
        <v>171</v>
      </c>
      <c r="B130" s="15" t="s">
        <v>68</v>
      </c>
      <c r="C130" s="116">
        <v>14</v>
      </c>
      <c r="D130" s="263">
        <v>250</v>
      </c>
      <c r="E130" s="264">
        <f t="shared" ref="E130:E131" si="47">+C130*D130</f>
        <v>3500</v>
      </c>
      <c r="F130" s="85">
        <f>-E130+K130</f>
        <v>-2012.78</v>
      </c>
      <c r="G130" s="96">
        <f t="shared" si="46"/>
        <v>-0.57508000000000004</v>
      </c>
      <c r="H130" s="120" t="s">
        <v>68</v>
      </c>
      <c r="I130" s="269">
        <f>K130/J130</f>
        <v>5.9488799999999999</v>
      </c>
      <c r="J130" s="263">
        <v>250</v>
      </c>
      <c r="K130" s="344">
        <f>O130+P130</f>
        <v>1487.22</v>
      </c>
      <c r="L130" s="120" t="s">
        <v>68</v>
      </c>
      <c r="M130" s="9">
        <v>0</v>
      </c>
      <c r="N130" s="10">
        <v>250</v>
      </c>
      <c r="O130" s="173">
        <f t="shared" ref="O130:O131" si="48">M130*N130</f>
        <v>0</v>
      </c>
      <c r="P130" s="174">
        <v>1487.22</v>
      </c>
      <c r="Q130" s="339"/>
      <c r="R130" s="340"/>
      <c r="S130" s="68"/>
      <c r="T130" s="68"/>
      <c r="U130" s="194"/>
      <c r="V130" s="68"/>
    </row>
    <row r="131" spans="1:22" s="67" customFormat="1" ht="24" customHeight="1" x14ac:dyDescent="0.2">
      <c r="A131" s="125" t="s">
        <v>172</v>
      </c>
      <c r="B131" s="15" t="s">
        <v>66</v>
      </c>
      <c r="C131" s="116">
        <v>28</v>
      </c>
      <c r="D131" s="263">
        <v>220</v>
      </c>
      <c r="E131" s="264">
        <f t="shared" si="47"/>
        <v>6160</v>
      </c>
      <c r="F131" s="85">
        <f>-E131+K131</f>
        <v>4704.7800000000007</v>
      </c>
      <c r="G131" s="96">
        <f t="shared" si="46"/>
        <v>0.76376298701298717</v>
      </c>
      <c r="H131" s="120" t="s">
        <v>66</v>
      </c>
      <c r="I131" s="269">
        <f t="shared" ref="I131:I151" si="49">K131/J131</f>
        <v>49.385363636363643</v>
      </c>
      <c r="J131" s="263">
        <v>220</v>
      </c>
      <c r="K131" s="344">
        <f>O131+P131</f>
        <v>10864.78</v>
      </c>
      <c r="L131" s="120" t="s">
        <v>66</v>
      </c>
      <c r="M131" s="9">
        <v>45</v>
      </c>
      <c r="N131" s="10">
        <v>220</v>
      </c>
      <c r="O131" s="173">
        <f t="shared" si="48"/>
        <v>9900</v>
      </c>
      <c r="P131" s="174">
        <v>964.78000000000009</v>
      </c>
      <c r="Q131" s="339"/>
      <c r="R131" s="340"/>
      <c r="S131" s="68"/>
      <c r="T131" s="68"/>
      <c r="U131" s="194"/>
      <c r="V131" s="68"/>
    </row>
    <row r="132" spans="1:22" s="67" customFormat="1" ht="24" customHeight="1" x14ac:dyDescent="0.2">
      <c r="A132" s="73" t="s">
        <v>91</v>
      </c>
      <c r="B132" s="301"/>
      <c r="C132" s="116"/>
      <c r="D132" s="263"/>
      <c r="E132" s="264"/>
      <c r="F132" s="85"/>
      <c r="G132" s="96"/>
      <c r="H132" s="302"/>
      <c r="I132" s="116"/>
      <c r="J132" s="263"/>
      <c r="K132" s="344"/>
      <c r="L132" s="121"/>
      <c r="M132" s="9"/>
      <c r="N132" s="10"/>
      <c r="O132" s="173"/>
      <c r="P132" s="174"/>
      <c r="Q132" s="339"/>
      <c r="R132" s="340"/>
      <c r="S132" s="68"/>
      <c r="T132" s="68"/>
      <c r="U132" s="194"/>
      <c r="V132" s="68"/>
    </row>
    <row r="133" spans="1:22" s="67" customFormat="1" ht="24" customHeight="1" x14ac:dyDescent="0.2">
      <c r="A133" s="125" t="s">
        <v>199</v>
      </c>
      <c r="B133" s="15" t="s">
        <v>68</v>
      </c>
      <c r="C133" s="116">
        <v>21</v>
      </c>
      <c r="D133" s="263">
        <v>250</v>
      </c>
      <c r="E133" s="264">
        <f t="shared" ref="E133:E134" si="50">+C133*D133</f>
        <v>5250</v>
      </c>
      <c r="F133" s="85">
        <f>-E133+K133</f>
        <v>-31.819999999999709</v>
      </c>
      <c r="G133" s="96">
        <f t="shared" si="46"/>
        <v>-6.0609523809523258E-3</v>
      </c>
      <c r="H133" s="120" t="s">
        <v>68</v>
      </c>
      <c r="I133" s="269">
        <f t="shared" si="49"/>
        <v>20.872720000000001</v>
      </c>
      <c r="J133" s="263">
        <v>250</v>
      </c>
      <c r="K133" s="344">
        <f>O133+P133</f>
        <v>5218.18</v>
      </c>
      <c r="L133" s="120" t="s">
        <v>68</v>
      </c>
      <c r="M133" s="9">
        <v>0</v>
      </c>
      <c r="N133" s="10">
        <v>250</v>
      </c>
      <c r="O133" s="173">
        <f t="shared" ref="O133:O134" si="51">M133*N133</f>
        <v>0</v>
      </c>
      <c r="P133" s="174">
        <v>5218.18</v>
      </c>
      <c r="Q133" s="339"/>
      <c r="R133" s="340"/>
      <c r="S133" s="68"/>
      <c r="T133" s="68"/>
      <c r="U133" s="194"/>
      <c r="V133" s="68"/>
    </row>
    <row r="134" spans="1:22" s="67" customFormat="1" ht="24" customHeight="1" x14ac:dyDescent="0.2">
      <c r="A134" s="125" t="s">
        <v>71</v>
      </c>
      <c r="B134" s="15" t="s">
        <v>66</v>
      </c>
      <c r="C134" s="116">
        <v>58</v>
      </c>
      <c r="D134" s="263">
        <v>213</v>
      </c>
      <c r="E134" s="264">
        <f t="shared" si="50"/>
        <v>12354</v>
      </c>
      <c r="F134" s="85">
        <f t="shared" ref="F134:F142" si="52">-E134+K134</f>
        <v>-1036.5131999999994</v>
      </c>
      <c r="G134" s="96">
        <f t="shared" si="46"/>
        <v>-8.3901019912578881E-2</v>
      </c>
      <c r="H134" s="120" t="s">
        <v>66</v>
      </c>
      <c r="I134" s="269">
        <f t="shared" si="49"/>
        <v>47.552465546218492</v>
      </c>
      <c r="J134" s="263">
        <v>238</v>
      </c>
      <c r="K134" s="344">
        <f>O134+P134</f>
        <v>11317.486800000001</v>
      </c>
      <c r="L134" s="120" t="s">
        <v>66</v>
      </c>
      <c r="M134" s="9">
        <v>40</v>
      </c>
      <c r="N134" s="10">
        <v>238</v>
      </c>
      <c r="O134" s="173">
        <f t="shared" si="51"/>
        <v>9520</v>
      </c>
      <c r="P134" s="174">
        <v>1797.4868000000001</v>
      </c>
      <c r="Q134" s="339"/>
      <c r="R134" s="340"/>
      <c r="S134" s="68"/>
      <c r="T134" s="68"/>
      <c r="U134" s="194"/>
      <c r="V134" s="68"/>
    </row>
    <row r="135" spans="1:22" s="67" customFormat="1" ht="24" customHeight="1" x14ac:dyDescent="0.2">
      <c r="A135" s="76" t="s">
        <v>72</v>
      </c>
      <c r="B135" s="118"/>
      <c r="C135" s="116"/>
      <c r="D135" s="291"/>
      <c r="E135" s="264"/>
      <c r="F135" s="85"/>
      <c r="G135" s="96"/>
      <c r="H135" s="118"/>
      <c r="I135" s="116"/>
      <c r="J135" s="291"/>
      <c r="K135" s="344"/>
      <c r="L135" s="18"/>
      <c r="M135" s="9"/>
      <c r="N135" s="19"/>
      <c r="O135" s="173"/>
      <c r="P135" s="174"/>
      <c r="Q135" s="339"/>
      <c r="R135" s="340"/>
      <c r="S135" s="68"/>
      <c r="T135" s="68"/>
      <c r="U135" s="194"/>
      <c r="V135" s="68"/>
    </row>
    <row r="136" spans="1:22" s="67" customFormat="1" ht="24" customHeight="1" x14ac:dyDescent="0.2">
      <c r="A136" s="124" t="s">
        <v>92</v>
      </c>
      <c r="B136" s="118" t="s">
        <v>39</v>
      </c>
      <c r="C136" s="116">
        <v>31</v>
      </c>
      <c r="D136" s="291">
        <v>1200</v>
      </c>
      <c r="E136" s="264">
        <f t="shared" ref="E136:E142" si="53">+C136*D136</f>
        <v>37200</v>
      </c>
      <c r="F136" s="85">
        <f t="shared" si="52"/>
        <v>-9900</v>
      </c>
      <c r="G136" s="96">
        <f t="shared" si="46"/>
        <v>-0.2661290322580645</v>
      </c>
      <c r="H136" s="118" t="s">
        <v>39</v>
      </c>
      <c r="I136" s="269">
        <v>21</v>
      </c>
      <c r="J136" s="291">
        <v>1300</v>
      </c>
      <c r="K136" s="344">
        <f>I136*J136</f>
        <v>27300</v>
      </c>
      <c r="L136" s="18" t="s">
        <v>39</v>
      </c>
      <c r="M136" s="9">
        <v>21</v>
      </c>
      <c r="N136" s="19">
        <v>1300</v>
      </c>
      <c r="O136" s="173">
        <f>M136*N136</f>
        <v>27300</v>
      </c>
      <c r="P136" s="174">
        <v>0</v>
      </c>
      <c r="Q136" s="339"/>
      <c r="R136" s="340"/>
      <c r="S136" s="68"/>
      <c r="T136" s="68"/>
      <c r="U136" s="194"/>
      <c r="V136" s="68"/>
    </row>
    <row r="137" spans="1:22" s="67" customFormat="1" ht="24" customHeight="1" x14ac:dyDescent="0.2">
      <c r="A137" s="124" t="s">
        <v>93</v>
      </c>
      <c r="B137" s="118" t="s">
        <v>39</v>
      </c>
      <c r="C137" s="116">
        <v>16</v>
      </c>
      <c r="D137" s="291">
        <v>1200</v>
      </c>
      <c r="E137" s="264">
        <f t="shared" si="53"/>
        <v>19200</v>
      </c>
      <c r="F137" s="85">
        <f t="shared" si="52"/>
        <v>-1988.5647885460203</v>
      </c>
      <c r="G137" s="96">
        <f t="shared" si="46"/>
        <v>-0.10357108273677189</v>
      </c>
      <c r="H137" s="118" t="s">
        <v>39</v>
      </c>
      <c r="I137" s="269">
        <f t="shared" si="49"/>
        <v>13.239565547272292</v>
      </c>
      <c r="J137" s="291">
        <v>1300</v>
      </c>
      <c r="K137" s="344">
        <f>O137+P137</f>
        <v>17211.43521145398</v>
      </c>
      <c r="L137" s="18" t="s">
        <v>39</v>
      </c>
      <c r="M137" s="9">
        <v>10</v>
      </c>
      <c r="N137" s="19">
        <v>1300</v>
      </c>
      <c r="O137" s="173">
        <f t="shared" ref="O137:O140" si="54">M137*N137</f>
        <v>13000</v>
      </c>
      <c r="P137" s="174">
        <v>4211.4352114539797</v>
      </c>
      <c r="Q137" s="339"/>
      <c r="R137" s="340"/>
      <c r="S137" s="68"/>
      <c r="T137" s="68"/>
      <c r="U137" s="194"/>
      <c r="V137" s="68"/>
    </row>
    <row r="138" spans="1:22" s="67" customFormat="1" ht="24" customHeight="1" x14ac:dyDescent="0.2">
      <c r="A138" s="124" t="s">
        <v>94</v>
      </c>
      <c r="B138" s="118" t="s">
        <v>43</v>
      </c>
      <c r="C138" s="116">
        <v>51</v>
      </c>
      <c r="D138" s="291">
        <v>350</v>
      </c>
      <c r="E138" s="264">
        <f t="shared" si="53"/>
        <v>17850</v>
      </c>
      <c r="F138" s="85">
        <f t="shared" si="52"/>
        <v>1470</v>
      </c>
      <c r="G138" s="96">
        <f t="shared" si="46"/>
        <v>8.2352941176470587E-2</v>
      </c>
      <c r="H138" s="118" t="s">
        <v>43</v>
      </c>
      <c r="I138" s="269">
        <f t="shared" si="49"/>
        <v>55.2</v>
      </c>
      <c r="J138" s="291">
        <v>350</v>
      </c>
      <c r="K138" s="344">
        <f>O138+P138</f>
        <v>19320</v>
      </c>
      <c r="L138" s="18" t="s">
        <v>43</v>
      </c>
      <c r="M138" s="9">
        <v>55.2</v>
      </c>
      <c r="N138" s="19">
        <v>350</v>
      </c>
      <c r="O138" s="173">
        <f t="shared" si="54"/>
        <v>19320</v>
      </c>
      <c r="P138" s="174">
        <v>0</v>
      </c>
      <c r="Q138" s="339"/>
      <c r="R138" s="340"/>
      <c r="S138" s="68"/>
      <c r="T138" s="68"/>
      <c r="U138" s="194"/>
      <c r="V138" s="68"/>
    </row>
    <row r="139" spans="1:22" s="67" customFormat="1" ht="24" customHeight="1" x14ac:dyDescent="0.2">
      <c r="A139" s="124" t="s">
        <v>95</v>
      </c>
      <c r="B139" s="118" t="s">
        <v>43</v>
      </c>
      <c r="C139" s="116">
        <v>15</v>
      </c>
      <c r="D139" s="291">
        <v>350</v>
      </c>
      <c r="E139" s="264">
        <f t="shared" si="53"/>
        <v>5250</v>
      </c>
      <c r="F139" s="85">
        <f t="shared" si="52"/>
        <v>-566.85009999999966</v>
      </c>
      <c r="G139" s="96">
        <f t="shared" si="46"/>
        <v>-0.10797144761904755</v>
      </c>
      <c r="H139" s="118" t="s">
        <v>43</v>
      </c>
      <c r="I139" s="269">
        <f t="shared" si="49"/>
        <v>13.380428285714286</v>
      </c>
      <c r="J139" s="291">
        <v>350</v>
      </c>
      <c r="K139" s="344">
        <f>O139+P139</f>
        <v>4683.1499000000003</v>
      </c>
      <c r="L139" s="18" t="s">
        <v>43</v>
      </c>
      <c r="M139" s="9">
        <v>10</v>
      </c>
      <c r="N139" s="19">
        <v>350</v>
      </c>
      <c r="O139" s="173">
        <f t="shared" si="54"/>
        <v>3500</v>
      </c>
      <c r="P139" s="174">
        <v>1183.1498999999999</v>
      </c>
      <c r="Q139" s="339"/>
      <c r="R139" s="340"/>
      <c r="S139" s="68"/>
      <c r="T139" s="68"/>
      <c r="U139" s="194"/>
      <c r="V139" s="68"/>
    </row>
    <row r="140" spans="1:22" s="67" customFormat="1" ht="24" customHeight="1" x14ac:dyDescent="0.2">
      <c r="A140" s="124" t="s">
        <v>96</v>
      </c>
      <c r="B140" s="118" t="s">
        <v>43</v>
      </c>
      <c r="C140" s="116">
        <v>22</v>
      </c>
      <c r="D140" s="291">
        <v>200</v>
      </c>
      <c r="E140" s="264">
        <f t="shared" si="53"/>
        <v>4400</v>
      </c>
      <c r="F140" s="85">
        <f t="shared" si="52"/>
        <v>2601.5962</v>
      </c>
      <c r="G140" s="96">
        <f t="shared" si="46"/>
        <v>0.59127186363636364</v>
      </c>
      <c r="H140" s="118" t="s">
        <v>43</v>
      </c>
      <c r="I140" s="269">
        <f t="shared" si="49"/>
        <v>20.00456057142857</v>
      </c>
      <c r="J140" s="291">
        <v>350</v>
      </c>
      <c r="K140" s="344">
        <f>O140+P140</f>
        <v>7001.5962</v>
      </c>
      <c r="L140" s="18" t="s">
        <v>43</v>
      </c>
      <c r="M140" s="9">
        <v>20</v>
      </c>
      <c r="N140" s="19">
        <v>350</v>
      </c>
      <c r="O140" s="173">
        <f t="shared" si="54"/>
        <v>7000</v>
      </c>
      <c r="P140" s="174">
        <v>1.5962000000000001</v>
      </c>
      <c r="Q140" s="339"/>
      <c r="R140" s="340"/>
      <c r="S140" s="68"/>
      <c r="T140" s="68"/>
      <c r="U140" s="194"/>
      <c r="V140" s="68"/>
    </row>
    <row r="141" spans="1:22" s="67" customFormat="1" ht="24" customHeight="1" x14ac:dyDescent="0.2">
      <c r="A141" s="124" t="s">
        <v>78</v>
      </c>
      <c r="B141" s="118" t="s">
        <v>43</v>
      </c>
      <c r="C141" s="279">
        <v>43</v>
      </c>
      <c r="D141" s="291">
        <v>100</v>
      </c>
      <c r="E141" s="264">
        <f t="shared" si="53"/>
        <v>4300</v>
      </c>
      <c r="F141" s="85">
        <f t="shared" si="52"/>
        <v>-894.44039999999995</v>
      </c>
      <c r="G141" s="96">
        <f t="shared" si="46"/>
        <v>-0.20800939534883719</v>
      </c>
      <c r="H141" s="118" t="s">
        <v>43</v>
      </c>
      <c r="I141" s="269">
        <f>31+(P141/J141)</f>
        <v>34.055596000000001</v>
      </c>
      <c r="J141" s="291">
        <v>100</v>
      </c>
      <c r="K141" s="344">
        <f>I141*J141</f>
        <v>3405.5596</v>
      </c>
      <c r="L141" s="18" t="s">
        <v>43</v>
      </c>
      <c r="M141" s="9">
        <v>31</v>
      </c>
      <c r="N141" s="19">
        <v>100</v>
      </c>
      <c r="O141" s="173">
        <f>M141*N141</f>
        <v>3100</v>
      </c>
      <c r="P141" s="174">
        <v>305.55959999999999</v>
      </c>
      <c r="Q141" s="339"/>
      <c r="R141" s="340"/>
      <c r="S141" s="68"/>
      <c r="T141" s="68"/>
      <c r="U141" s="194"/>
      <c r="V141" s="68"/>
    </row>
    <row r="142" spans="1:22" s="67" customFormat="1" ht="24" customHeight="1" x14ac:dyDescent="0.2">
      <c r="A142" s="124" t="s">
        <v>79</v>
      </c>
      <c r="B142" s="118" t="s">
        <v>43</v>
      </c>
      <c r="C142" s="279">
        <v>43</v>
      </c>
      <c r="D142" s="291">
        <v>150</v>
      </c>
      <c r="E142" s="264">
        <f t="shared" si="53"/>
        <v>6450</v>
      </c>
      <c r="F142" s="85">
        <f t="shared" si="52"/>
        <v>-1791.9224000000004</v>
      </c>
      <c r="G142" s="96">
        <f t="shared" si="46"/>
        <v>-0.27781742635658918</v>
      </c>
      <c r="H142" s="118" t="s">
        <v>43</v>
      </c>
      <c r="I142" s="269">
        <f>31+(P142/J142)</f>
        <v>31.053850666666666</v>
      </c>
      <c r="J142" s="291">
        <v>150</v>
      </c>
      <c r="K142" s="344">
        <f>I142*J142</f>
        <v>4658.0775999999996</v>
      </c>
      <c r="L142" s="18" t="s">
        <v>43</v>
      </c>
      <c r="M142" s="9">
        <v>31</v>
      </c>
      <c r="N142" s="19">
        <v>150</v>
      </c>
      <c r="O142" s="173">
        <f>M142*N142</f>
        <v>4650</v>
      </c>
      <c r="P142" s="174">
        <v>8.0776000000000021</v>
      </c>
      <c r="Q142" s="339"/>
      <c r="R142" s="340"/>
      <c r="S142" s="68"/>
      <c r="T142" s="68"/>
      <c r="U142" s="194"/>
      <c r="V142" s="68"/>
    </row>
    <row r="143" spans="1:22" s="67" customFormat="1" ht="24.75" customHeight="1" x14ac:dyDescent="0.2">
      <c r="A143" s="125" t="s">
        <v>257</v>
      </c>
      <c r="B143" s="118" t="s">
        <v>39</v>
      </c>
      <c r="C143" s="116">
        <v>0</v>
      </c>
      <c r="D143" s="291">
        <v>0</v>
      </c>
      <c r="E143" s="264">
        <f>+C143*D143</f>
        <v>0</v>
      </c>
      <c r="F143" s="85">
        <f>-E143+K143</f>
        <v>10800</v>
      </c>
      <c r="G143" s="96" t="e">
        <f>F143/E143</f>
        <v>#DIV/0!</v>
      </c>
      <c r="H143" s="118" t="s">
        <v>39</v>
      </c>
      <c r="I143" s="269">
        <f t="shared" si="49"/>
        <v>9</v>
      </c>
      <c r="J143" s="291">
        <v>1200</v>
      </c>
      <c r="K143" s="344">
        <f>O143+P143</f>
        <v>10800</v>
      </c>
      <c r="L143" s="18" t="s">
        <v>39</v>
      </c>
      <c r="M143" s="9">
        <f>1*3*3</f>
        <v>9</v>
      </c>
      <c r="N143" s="19">
        <v>1200</v>
      </c>
      <c r="O143" s="173">
        <f>M143*N143</f>
        <v>10800</v>
      </c>
      <c r="P143" s="174">
        <v>0</v>
      </c>
      <c r="Q143" s="339"/>
      <c r="R143" s="340"/>
      <c r="S143" s="68"/>
      <c r="T143" s="68"/>
      <c r="U143" s="194"/>
      <c r="V143" s="68"/>
    </row>
    <row r="144" spans="1:22" s="67" customFormat="1" ht="24" customHeight="1" x14ac:dyDescent="0.2">
      <c r="A144" s="73" t="s">
        <v>133</v>
      </c>
      <c r="B144" s="118"/>
      <c r="C144" s="279"/>
      <c r="D144" s="291"/>
      <c r="E144" s="264"/>
      <c r="F144" s="85"/>
      <c r="G144" s="96"/>
      <c r="H144" s="118"/>
      <c r="I144" s="279"/>
      <c r="J144" s="291"/>
      <c r="K144" s="344"/>
      <c r="L144" s="18"/>
      <c r="M144" s="11"/>
      <c r="N144" s="19"/>
      <c r="O144" s="173"/>
      <c r="P144" s="174"/>
      <c r="Q144" s="339"/>
      <c r="R144" s="340"/>
      <c r="S144" s="68"/>
      <c r="T144" s="68"/>
      <c r="U144" s="194"/>
      <c r="V144" s="68"/>
    </row>
    <row r="145" spans="1:22" s="67" customFormat="1" ht="24" customHeight="1" x14ac:dyDescent="0.2">
      <c r="A145" s="125" t="s">
        <v>80</v>
      </c>
      <c r="B145" s="118" t="s">
        <v>29</v>
      </c>
      <c r="C145" s="279">
        <v>684</v>
      </c>
      <c r="D145" s="291">
        <v>203</v>
      </c>
      <c r="E145" s="264">
        <f t="shared" ref="E145" si="55">+C145*D145</f>
        <v>138852</v>
      </c>
      <c r="F145" s="85">
        <f>-E145+K145</f>
        <v>-9052</v>
      </c>
      <c r="G145" s="96">
        <f t="shared" si="46"/>
        <v>-6.5191714919482613E-2</v>
      </c>
      <c r="H145" s="118" t="s">
        <v>29</v>
      </c>
      <c r="I145" s="269">
        <f t="shared" si="49"/>
        <v>590</v>
      </c>
      <c r="J145" s="291">
        <v>220</v>
      </c>
      <c r="K145" s="344">
        <f>O145+P145</f>
        <v>129800</v>
      </c>
      <c r="L145" s="18" t="s">
        <v>29</v>
      </c>
      <c r="M145" s="11">
        <v>590</v>
      </c>
      <c r="N145" s="19">
        <v>220</v>
      </c>
      <c r="O145" s="173">
        <f t="shared" ref="O145" si="56">M145*N145</f>
        <v>129800</v>
      </c>
      <c r="P145" s="174">
        <v>0</v>
      </c>
      <c r="Q145" s="339"/>
      <c r="R145" s="340"/>
      <c r="S145" s="68"/>
      <c r="T145" s="68"/>
      <c r="U145" s="194"/>
      <c r="V145" s="68"/>
    </row>
    <row r="146" spans="1:22" s="67" customFormat="1" ht="24" customHeight="1" x14ac:dyDescent="0.2">
      <c r="A146" s="125" t="s">
        <v>337</v>
      </c>
      <c r="B146" s="118"/>
      <c r="C146" s="279"/>
      <c r="D146" s="291"/>
      <c r="E146" s="264"/>
      <c r="F146" s="85"/>
      <c r="G146" s="96"/>
      <c r="H146" s="118"/>
      <c r="I146" s="279"/>
      <c r="J146" s="291"/>
      <c r="K146" s="344"/>
      <c r="L146" s="18"/>
      <c r="M146" s="11"/>
      <c r="N146" s="19"/>
      <c r="O146" s="173"/>
      <c r="P146" s="174"/>
      <c r="Q146" s="339"/>
      <c r="R146" s="340"/>
      <c r="S146" s="68"/>
      <c r="T146" s="68"/>
      <c r="U146" s="194"/>
      <c r="V146" s="68"/>
    </row>
    <row r="147" spans="1:22" s="67" customFormat="1" ht="24" customHeight="1" x14ac:dyDescent="0.2">
      <c r="A147" s="125" t="s">
        <v>81</v>
      </c>
      <c r="B147" s="118" t="s">
        <v>15</v>
      </c>
      <c r="C147" s="279">
        <v>45</v>
      </c>
      <c r="D147" s="291">
        <v>500</v>
      </c>
      <c r="E147" s="264">
        <f t="shared" ref="E147:E148" si="57">+C147*D147</f>
        <v>22500</v>
      </c>
      <c r="F147" s="85">
        <f t="shared" ref="F147:F148" si="58">-E147+K147</f>
        <v>-10000</v>
      </c>
      <c r="G147" s="96">
        <f t="shared" si="46"/>
        <v>-0.44444444444444442</v>
      </c>
      <c r="H147" s="118" t="s">
        <v>15</v>
      </c>
      <c r="I147" s="269">
        <f t="shared" si="49"/>
        <v>25</v>
      </c>
      <c r="J147" s="291">
        <v>500</v>
      </c>
      <c r="K147" s="344">
        <f>O147+P147</f>
        <v>12500</v>
      </c>
      <c r="L147" s="18" t="s">
        <v>15</v>
      </c>
      <c r="M147" s="9">
        <v>25</v>
      </c>
      <c r="N147" s="19">
        <v>500</v>
      </c>
      <c r="O147" s="173">
        <f t="shared" ref="O147:O148" si="59">M147*N147</f>
        <v>12500</v>
      </c>
      <c r="P147" s="174">
        <v>0</v>
      </c>
      <c r="Q147" s="339"/>
      <c r="R147" s="340"/>
      <c r="S147" s="68"/>
      <c r="T147" s="68"/>
      <c r="U147" s="194"/>
      <c r="V147" s="68"/>
    </row>
    <row r="148" spans="1:22" s="67" customFormat="1" ht="24" customHeight="1" x14ac:dyDescent="0.2">
      <c r="A148" s="125" t="s">
        <v>198</v>
      </c>
      <c r="B148" s="118" t="s">
        <v>15</v>
      </c>
      <c r="C148" s="279">
        <v>45</v>
      </c>
      <c r="D148" s="291">
        <v>800</v>
      </c>
      <c r="E148" s="264">
        <f t="shared" si="57"/>
        <v>36000</v>
      </c>
      <c r="F148" s="85">
        <f t="shared" si="58"/>
        <v>-4000</v>
      </c>
      <c r="G148" s="96">
        <f t="shared" si="46"/>
        <v>-0.1111111111111111</v>
      </c>
      <c r="H148" s="118" t="s">
        <v>15</v>
      </c>
      <c r="I148" s="269">
        <f t="shared" si="49"/>
        <v>40</v>
      </c>
      <c r="J148" s="291">
        <v>800</v>
      </c>
      <c r="K148" s="344">
        <f>O148+P148</f>
        <v>32000</v>
      </c>
      <c r="L148" s="18" t="s">
        <v>15</v>
      </c>
      <c r="M148" s="11">
        <v>40</v>
      </c>
      <c r="N148" s="19">
        <v>800</v>
      </c>
      <c r="O148" s="173">
        <f t="shared" si="59"/>
        <v>32000</v>
      </c>
      <c r="P148" s="174">
        <v>0</v>
      </c>
      <c r="Q148" s="339"/>
      <c r="R148" s="340"/>
      <c r="S148" s="68"/>
      <c r="T148" s="68"/>
      <c r="U148" s="194"/>
      <c r="V148" s="68"/>
    </row>
    <row r="149" spans="1:22" s="67" customFormat="1" ht="24" customHeight="1" x14ac:dyDescent="0.2">
      <c r="A149" s="73" t="s">
        <v>82</v>
      </c>
      <c r="B149" s="118"/>
      <c r="C149" s="279"/>
      <c r="D149" s="291"/>
      <c r="E149" s="264"/>
      <c r="F149" s="85"/>
      <c r="G149" s="96"/>
      <c r="H149" s="118"/>
      <c r="I149" s="279"/>
      <c r="J149" s="291"/>
      <c r="K149" s="344"/>
      <c r="L149" s="18"/>
      <c r="M149" s="11"/>
      <c r="N149" s="19"/>
      <c r="O149" s="173"/>
      <c r="P149" s="174"/>
      <c r="Q149" s="339"/>
      <c r="R149" s="340"/>
      <c r="S149" s="68"/>
      <c r="T149" s="68"/>
      <c r="U149" s="194"/>
      <c r="V149" s="68"/>
    </row>
    <row r="150" spans="1:22" s="67" customFormat="1" ht="24" customHeight="1" x14ac:dyDescent="0.2">
      <c r="A150" s="125" t="s">
        <v>97</v>
      </c>
      <c r="B150" s="118" t="s">
        <v>84</v>
      </c>
      <c r="C150" s="279">
        <v>2000</v>
      </c>
      <c r="D150" s="291">
        <v>15</v>
      </c>
      <c r="E150" s="264">
        <f t="shared" ref="E150:E151" si="60">+C150*D150</f>
        <v>30000</v>
      </c>
      <c r="F150" s="85">
        <f t="shared" ref="F150:F151" si="61">-E150+K150</f>
        <v>-18300</v>
      </c>
      <c r="G150" s="96">
        <f t="shared" si="46"/>
        <v>-0.61</v>
      </c>
      <c r="H150" s="118" t="s">
        <v>84</v>
      </c>
      <c r="I150" s="269">
        <f>K150/J150</f>
        <v>390</v>
      </c>
      <c r="J150" s="291">
        <v>30</v>
      </c>
      <c r="K150" s="344">
        <f>(750*J150)-K143</f>
        <v>11700</v>
      </c>
      <c r="L150" s="18" t="s">
        <v>84</v>
      </c>
      <c r="M150" s="11">
        <v>750</v>
      </c>
      <c r="N150" s="19">
        <v>30</v>
      </c>
      <c r="O150" s="173">
        <f>(M150*N150)-O143</f>
        <v>11700</v>
      </c>
      <c r="P150" s="174">
        <v>0</v>
      </c>
      <c r="Q150" s="339"/>
      <c r="R150" s="340"/>
      <c r="S150" s="68"/>
      <c r="T150" s="68"/>
      <c r="U150" s="194"/>
      <c r="V150" s="68"/>
    </row>
    <row r="151" spans="1:22" s="67" customFormat="1" ht="24" customHeight="1" thickBot="1" x14ac:dyDescent="0.25">
      <c r="A151" s="80" t="s">
        <v>134</v>
      </c>
      <c r="B151" s="265" t="s">
        <v>85</v>
      </c>
      <c r="C151" s="266">
        <v>200</v>
      </c>
      <c r="D151" s="267">
        <v>20</v>
      </c>
      <c r="E151" s="264">
        <f t="shared" si="60"/>
        <v>4000</v>
      </c>
      <c r="F151" s="85">
        <f t="shared" si="61"/>
        <v>-3264</v>
      </c>
      <c r="G151" s="96">
        <f t="shared" si="46"/>
        <v>-0.81599999999999995</v>
      </c>
      <c r="H151" s="265" t="s">
        <v>85</v>
      </c>
      <c r="I151" s="269">
        <f t="shared" si="49"/>
        <v>36.800000000000004</v>
      </c>
      <c r="J151" s="267">
        <v>20</v>
      </c>
      <c r="K151" s="344">
        <f>O151+P151</f>
        <v>736.00000000000011</v>
      </c>
      <c r="L151" s="20" t="s">
        <v>85</v>
      </c>
      <c r="M151" s="21">
        <v>36.800000000000004</v>
      </c>
      <c r="N151" s="22">
        <v>20</v>
      </c>
      <c r="O151" s="173">
        <f>M151*N151</f>
        <v>736.00000000000011</v>
      </c>
      <c r="P151" s="187">
        <v>0</v>
      </c>
      <c r="Q151" s="339"/>
      <c r="R151" s="340"/>
      <c r="S151" s="68"/>
      <c r="T151" s="68"/>
      <c r="U151" s="194"/>
      <c r="V151" s="68"/>
    </row>
    <row r="152" spans="1:22" s="70" customFormat="1" ht="24" customHeight="1" thickBot="1" x14ac:dyDescent="0.25">
      <c r="A152" s="59" t="s">
        <v>98</v>
      </c>
      <c r="B152" s="60"/>
      <c r="C152" s="61"/>
      <c r="D152" s="62"/>
      <c r="E152" s="64">
        <f>SUM(E127:E151)</f>
        <v>542625</v>
      </c>
      <c r="F152" s="89">
        <f>-E152+K152</f>
        <v>-81352.314688546001</v>
      </c>
      <c r="G152" s="97">
        <f>F152/E152</f>
        <v>-0.14992363914037504</v>
      </c>
      <c r="H152" s="63"/>
      <c r="I152" s="61"/>
      <c r="J152" s="62"/>
      <c r="K152" s="353">
        <f>SUM(K127:K151)</f>
        <v>461272.685311454</v>
      </c>
      <c r="L152" s="63"/>
      <c r="M152" s="61"/>
      <c r="N152" s="62"/>
      <c r="O152" s="175">
        <f>SUM(O127:O151)</f>
        <v>440950</v>
      </c>
      <c r="P152" s="175">
        <f>SUM(P127:P151)</f>
        <v>20177.48531145398</v>
      </c>
      <c r="Q152" s="339"/>
      <c r="R152" s="340"/>
      <c r="S152" s="68"/>
      <c r="T152" s="68"/>
      <c r="U152" s="194"/>
      <c r="V152" s="68"/>
    </row>
    <row r="153" spans="1:22" s="67" customFormat="1" ht="24" customHeight="1" thickBot="1" x14ac:dyDescent="0.25">
      <c r="A153" s="37" t="s">
        <v>99</v>
      </c>
      <c r="B153" s="38"/>
      <c r="C153" s="39"/>
      <c r="D153" s="40"/>
      <c r="E153" s="49"/>
      <c r="F153" s="52"/>
      <c r="G153" s="99"/>
      <c r="H153" s="52"/>
      <c r="I153" s="40"/>
      <c r="J153" s="40"/>
      <c r="K153" s="354"/>
      <c r="L153" s="52"/>
      <c r="M153" s="40"/>
      <c r="N153" s="40"/>
      <c r="O153" s="178"/>
      <c r="P153" s="178"/>
      <c r="Q153" s="339"/>
      <c r="R153" s="340"/>
      <c r="S153" s="68"/>
      <c r="T153" s="68"/>
      <c r="U153" s="194"/>
      <c r="V153" s="68"/>
    </row>
    <row r="154" spans="1:22" s="67" customFormat="1" ht="24" customHeight="1" x14ac:dyDescent="0.2">
      <c r="A154" s="81" t="s">
        <v>100</v>
      </c>
      <c r="B154" s="33" t="s">
        <v>68</v>
      </c>
      <c r="C154" s="278">
        <v>420</v>
      </c>
      <c r="D154" s="270">
        <v>250</v>
      </c>
      <c r="E154" s="264">
        <f t="shared" ref="E154:E155" si="62">+C154*D154</f>
        <v>105000</v>
      </c>
      <c r="F154" s="85">
        <f>-E154+K154</f>
        <v>-34350.000000000015</v>
      </c>
      <c r="G154" s="96">
        <f>F154/E154</f>
        <v>-0.32714285714285729</v>
      </c>
      <c r="H154" s="117" t="s">
        <v>68</v>
      </c>
      <c r="I154" s="269">
        <v>282.59999999999997</v>
      </c>
      <c r="J154" s="270">
        <v>250</v>
      </c>
      <c r="K154" s="344">
        <f>I154*J154</f>
        <v>70649.999999999985</v>
      </c>
      <c r="L154" s="117" t="s">
        <v>68</v>
      </c>
      <c r="M154" s="34">
        <v>273</v>
      </c>
      <c r="N154" s="35">
        <v>250</v>
      </c>
      <c r="O154" s="173">
        <f t="shared" ref="O154:O155" si="63">M154*N154</f>
        <v>68250</v>
      </c>
      <c r="P154" s="174">
        <v>2500</v>
      </c>
      <c r="Q154" s="339"/>
      <c r="R154" s="340"/>
      <c r="S154" s="68"/>
      <c r="T154" s="68"/>
      <c r="U154" s="194"/>
      <c r="V154" s="68"/>
    </row>
    <row r="155" spans="1:22" s="67" customFormat="1" ht="24" customHeight="1" x14ac:dyDescent="0.2">
      <c r="A155" s="73" t="s">
        <v>101</v>
      </c>
      <c r="B155" s="15" t="s">
        <v>66</v>
      </c>
      <c r="C155" s="116">
        <v>490</v>
      </c>
      <c r="D155" s="263">
        <v>213</v>
      </c>
      <c r="E155" s="264">
        <f t="shared" si="62"/>
        <v>104370</v>
      </c>
      <c r="F155" s="85">
        <f>-E155+K155</f>
        <v>-20923.400000000009</v>
      </c>
      <c r="G155" s="96">
        <f t="shared" ref="G155:G178" si="64">F155/E155</f>
        <v>-0.20047331608699825</v>
      </c>
      <c r="H155" s="120" t="s">
        <v>66</v>
      </c>
      <c r="I155" s="269">
        <v>350.61596638655459</v>
      </c>
      <c r="J155" s="263">
        <v>238</v>
      </c>
      <c r="K155" s="344">
        <f>I155*J155</f>
        <v>83446.599999999991</v>
      </c>
      <c r="L155" s="120" t="s">
        <v>66</v>
      </c>
      <c r="M155" s="116">
        <v>330</v>
      </c>
      <c r="N155" s="10">
        <v>238</v>
      </c>
      <c r="O155" s="173">
        <f t="shared" si="63"/>
        <v>78540</v>
      </c>
      <c r="P155" s="174">
        <v>4978</v>
      </c>
      <c r="Q155" s="339"/>
      <c r="R155" s="340"/>
      <c r="S155" s="68"/>
      <c r="T155" s="68"/>
      <c r="U155" s="194"/>
      <c r="V155" s="68"/>
    </row>
    <row r="156" spans="1:22" s="67" customFormat="1" ht="24.75" customHeight="1" x14ac:dyDescent="0.2">
      <c r="A156" s="73" t="s">
        <v>102</v>
      </c>
      <c r="B156" s="301"/>
      <c r="C156" s="116"/>
      <c r="D156" s="263"/>
      <c r="E156" s="264"/>
      <c r="F156" s="85"/>
      <c r="G156" s="96"/>
      <c r="H156" s="302"/>
      <c r="I156" s="116"/>
      <c r="J156" s="263"/>
      <c r="K156" s="344"/>
      <c r="L156" s="121"/>
      <c r="M156" s="9"/>
      <c r="N156" s="10"/>
      <c r="O156" s="173"/>
      <c r="P156" s="174"/>
      <c r="Q156" s="339"/>
      <c r="R156" s="340"/>
      <c r="S156" s="68"/>
      <c r="T156" s="68"/>
      <c r="U156" s="194"/>
      <c r="V156" s="68"/>
    </row>
    <row r="157" spans="1:22" s="67" customFormat="1" ht="24.75" customHeight="1" x14ac:dyDescent="0.2">
      <c r="A157" s="125" t="s">
        <v>171</v>
      </c>
      <c r="B157" s="15" t="s">
        <v>68</v>
      </c>
      <c r="C157" s="116">
        <v>28</v>
      </c>
      <c r="D157" s="263">
        <v>250</v>
      </c>
      <c r="E157" s="264">
        <f t="shared" ref="E157:E158" si="65">+C157*D157</f>
        <v>7000</v>
      </c>
      <c r="F157" s="85">
        <f t="shared" ref="F157:F158" si="66">-E157+K157</f>
        <v>-7000</v>
      </c>
      <c r="G157" s="96">
        <f t="shared" si="64"/>
        <v>-1</v>
      </c>
      <c r="H157" s="120" t="s">
        <v>68</v>
      </c>
      <c r="I157" s="269">
        <f t="shared" ref="I157:I158" si="67">K157/J157</f>
        <v>0</v>
      </c>
      <c r="J157" s="263">
        <v>250</v>
      </c>
      <c r="K157" s="344">
        <f>O157+P157</f>
        <v>0</v>
      </c>
      <c r="L157" s="120" t="s">
        <v>68</v>
      </c>
      <c r="M157" s="9">
        <v>0</v>
      </c>
      <c r="N157" s="10">
        <v>250</v>
      </c>
      <c r="O157" s="173">
        <f t="shared" ref="O157:O158" si="68">M157*N157</f>
        <v>0</v>
      </c>
      <c r="P157" s="174">
        <v>0</v>
      </c>
      <c r="Q157" s="339"/>
      <c r="R157" s="340"/>
      <c r="S157" s="68"/>
      <c r="T157" s="68"/>
      <c r="U157" s="194"/>
      <c r="V157" s="68"/>
    </row>
    <row r="158" spans="1:22" s="67" customFormat="1" ht="24.75" customHeight="1" x14ac:dyDescent="0.2">
      <c r="A158" s="125" t="s">
        <v>172</v>
      </c>
      <c r="B158" s="15" t="s">
        <v>66</v>
      </c>
      <c r="C158" s="116">
        <v>50</v>
      </c>
      <c r="D158" s="263">
        <v>220</v>
      </c>
      <c r="E158" s="264">
        <f t="shared" si="65"/>
        <v>11000</v>
      </c>
      <c r="F158" s="85">
        <f t="shared" si="66"/>
        <v>1788.4150000000009</v>
      </c>
      <c r="G158" s="96">
        <f t="shared" si="64"/>
        <v>0.1625831818181819</v>
      </c>
      <c r="H158" s="120" t="s">
        <v>66</v>
      </c>
      <c r="I158" s="269">
        <f t="shared" si="67"/>
        <v>58.129159090909091</v>
      </c>
      <c r="J158" s="263">
        <v>220</v>
      </c>
      <c r="K158" s="344">
        <f>O158+P158</f>
        <v>12788.415000000001</v>
      </c>
      <c r="L158" s="120" t="s">
        <v>66</v>
      </c>
      <c r="M158" s="9">
        <v>54</v>
      </c>
      <c r="N158" s="10">
        <v>220</v>
      </c>
      <c r="O158" s="173">
        <f t="shared" si="68"/>
        <v>11880</v>
      </c>
      <c r="P158" s="174">
        <v>908.41499999999996</v>
      </c>
      <c r="Q158" s="339"/>
      <c r="R158" s="340"/>
      <c r="S158" s="68"/>
      <c r="T158" s="68"/>
      <c r="U158" s="194"/>
      <c r="V158" s="68"/>
    </row>
    <row r="159" spans="1:22" s="67" customFormat="1" ht="24.75" customHeight="1" x14ac:dyDescent="0.2">
      <c r="A159" s="73" t="s">
        <v>103</v>
      </c>
      <c r="B159" s="301"/>
      <c r="C159" s="116"/>
      <c r="D159" s="263"/>
      <c r="E159" s="264"/>
      <c r="F159" s="85"/>
      <c r="G159" s="96"/>
      <c r="H159" s="302"/>
      <c r="I159" s="116"/>
      <c r="J159" s="263"/>
      <c r="K159" s="344"/>
      <c r="L159" s="121"/>
      <c r="M159" s="9"/>
      <c r="N159" s="10"/>
      <c r="O159" s="173"/>
      <c r="P159" s="174"/>
      <c r="Q159" s="339"/>
      <c r="R159" s="340"/>
      <c r="S159" s="68"/>
      <c r="T159" s="68"/>
      <c r="U159" s="194"/>
      <c r="V159" s="68"/>
    </row>
    <row r="160" spans="1:22" s="67" customFormat="1" ht="24.75" customHeight="1" x14ac:dyDescent="0.2">
      <c r="A160" s="125" t="s">
        <v>199</v>
      </c>
      <c r="B160" s="15" t="s">
        <v>68</v>
      </c>
      <c r="C160" s="116">
        <v>35</v>
      </c>
      <c r="D160" s="263">
        <v>250</v>
      </c>
      <c r="E160" s="264">
        <f t="shared" ref="E160:E161" si="69">+C160*D160</f>
        <v>8750</v>
      </c>
      <c r="F160" s="85">
        <f t="shared" ref="F160:F161" si="70">-E160+K160</f>
        <v>-8750</v>
      </c>
      <c r="G160" s="96">
        <f t="shared" si="64"/>
        <v>-1</v>
      </c>
      <c r="H160" s="120" t="s">
        <v>68</v>
      </c>
      <c r="I160" s="269">
        <f t="shared" ref="I160:I161" si="71">K160/J160</f>
        <v>0</v>
      </c>
      <c r="J160" s="263">
        <v>250</v>
      </c>
      <c r="K160" s="344">
        <f>O160+P160</f>
        <v>0</v>
      </c>
      <c r="L160" s="120" t="s">
        <v>68</v>
      </c>
      <c r="M160" s="9">
        <v>0</v>
      </c>
      <c r="N160" s="10">
        <v>250</v>
      </c>
      <c r="O160" s="173">
        <f t="shared" ref="O160:O161" si="72">M160*N160</f>
        <v>0</v>
      </c>
      <c r="P160" s="174">
        <v>0</v>
      </c>
      <c r="Q160" s="339"/>
      <c r="R160" s="340"/>
      <c r="S160" s="68"/>
      <c r="T160" s="68"/>
      <c r="U160" s="194"/>
      <c r="V160" s="68"/>
    </row>
    <row r="161" spans="1:22" s="67" customFormat="1" ht="24.75" customHeight="1" x14ac:dyDescent="0.2">
      <c r="A161" s="125" t="s">
        <v>71</v>
      </c>
      <c r="B161" s="15" t="s">
        <v>66</v>
      </c>
      <c r="C161" s="116">
        <v>86</v>
      </c>
      <c r="D161" s="263">
        <v>213</v>
      </c>
      <c r="E161" s="264">
        <f t="shared" si="69"/>
        <v>18318</v>
      </c>
      <c r="F161" s="85">
        <f t="shared" si="70"/>
        <v>-10093.906800000001</v>
      </c>
      <c r="G161" s="96">
        <f t="shared" si="64"/>
        <v>-0.5510376023583361</v>
      </c>
      <c r="H161" s="120" t="s">
        <v>66</v>
      </c>
      <c r="I161" s="269">
        <f t="shared" si="71"/>
        <v>34.555013445378151</v>
      </c>
      <c r="J161" s="263">
        <v>238</v>
      </c>
      <c r="K161" s="344">
        <f>O161+P161</f>
        <v>8224.0931999999993</v>
      </c>
      <c r="L161" s="120" t="s">
        <v>66</v>
      </c>
      <c r="M161" s="9">
        <v>0</v>
      </c>
      <c r="N161" s="10">
        <v>238</v>
      </c>
      <c r="O161" s="173">
        <f t="shared" si="72"/>
        <v>0</v>
      </c>
      <c r="P161" s="174">
        <v>8224.0931999999993</v>
      </c>
      <c r="Q161" s="339"/>
      <c r="R161" s="340"/>
      <c r="S161" s="68"/>
      <c r="T161" s="68"/>
      <c r="U161" s="194"/>
      <c r="V161" s="68"/>
    </row>
    <row r="162" spans="1:22" s="67" customFormat="1" ht="24.75" customHeight="1" x14ac:dyDescent="0.2">
      <c r="A162" s="76" t="s">
        <v>72</v>
      </c>
      <c r="B162" s="118"/>
      <c r="C162" s="116"/>
      <c r="D162" s="291"/>
      <c r="E162" s="264"/>
      <c r="F162" s="85"/>
      <c r="G162" s="96"/>
      <c r="H162" s="118"/>
      <c r="I162" s="116"/>
      <c r="J162" s="263"/>
      <c r="K162" s="344"/>
      <c r="L162" s="18"/>
      <c r="M162" s="9"/>
      <c r="N162" s="10"/>
      <c r="O162" s="173"/>
      <c r="P162" s="174"/>
      <c r="Q162" s="339"/>
      <c r="R162" s="340"/>
      <c r="S162" s="68"/>
      <c r="T162" s="68"/>
      <c r="U162" s="194"/>
      <c r="V162" s="68"/>
    </row>
    <row r="163" spans="1:22" s="67" customFormat="1" ht="24.75" customHeight="1" x14ac:dyDescent="0.2">
      <c r="A163" s="124" t="s">
        <v>104</v>
      </c>
      <c r="B163" s="118" t="s">
        <v>39</v>
      </c>
      <c r="C163" s="116">
        <v>35</v>
      </c>
      <c r="D163" s="291">
        <v>1200</v>
      </c>
      <c r="E163" s="264">
        <f t="shared" ref="E163:E169" si="73">+C163*D163</f>
        <v>42000</v>
      </c>
      <c r="F163" s="85">
        <f t="shared" ref="F163:F170" si="74">-E163+K163</f>
        <v>-13500</v>
      </c>
      <c r="G163" s="96">
        <f t="shared" si="64"/>
        <v>-0.32142857142857145</v>
      </c>
      <c r="H163" s="118" t="s">
        <v>39</v>
      </c>
      <c r="I163" s="269">
        <f t="shared" ref="I163:I170" si="75">K163/J163</f>
        <v>21.923076923076923</v>
      </c>
      <c r="J163" s="263">
        <v>1300</v>
      </c>
      <c r="K163" s="344">
        <f t="shared" ref="K163:K170" si="76">O163+P163</f>
        <v>28500</v>
      </c>
      <c r="L163" s="18" t="s">
        <v>39</v>
      </c>
      <c r="M163" s="9">
        <v>21</v>
      </c>
      <c r="N163" s="10">
        <v>1300</v>
      </c>
      <c r="O163" s="173">
        <f t="shared" ref="O163:O169" si="77">M163*N163</f>
        <v>27300</v>
      </c>
      <c r="P163" s="174">
        <v>1200</v>
      </c>
      <c r="Q163" s="339"/>
      <c r="R163" s="340"/>
      <c r="S163" s="68"/>
      <c r="T163" s="68"/>
      <c r="U163" s="194"/>
      <c r="V163" s="68"/>
    </row>
    <row r="164" spans="1:22" s="67" customFormat="1" ht="24.75" customHeight="1" x14ac:dyDescent="0.2">
      <c r="A164" s="124" t="s">
        <v>105</v>
      </c>
      <c r="B164" s="118" t="s">
        <v>39</v>
      </c>
      <c r="C164" s="116">
        <v>25</v>
      </c>
      <c r="D164" s="291">
        <v>1200</v>
      </c>
      <c r="E164" s="264">
        <f t="shared" si="73"/>
        <v>30000</v>
      </c>
      <c r="F164" s="85">
        <f t="shared" si="74"/>
        <v>-26007.007311453985</v>
      </c>
      <c r="G164" s="96">
        <f t="shared" si="64"/>
        <v>-0.86690024371513286</v>
      </c>
      <c r="H164" s="118" t="s">
        <v>39</v>
      </c>
      <c r="I164" s="269">
        <f t="shared" si="75"/>
        <v>3.0715328373430881</v>
      </c>
      <c r="J164" s="263">
        <v>1300</v>
      </c>
      <c r="K164" s="344">
        <f t="shared" si="76"/>
        <v>3992.9926885460145</v>
      </c>
      <c r="L164" s="18" t="s">
        <v>39</v>
      </c>
      <c r="M164" s="9">
        <v>0</v>
      </c>
      <c r="N164" s="10">
        <v>1300</v>
      </c>
      <c r="O164" s="173">
        <f t="shared" si="77"/>
        <v>0</v>
      </c>
      <c r="P164" s="174">
        <v>3992.9926885460145</v>
      </c>
      <c r="Q164" s="339"/>
      <c r="R164" s="340"/>
      <c r="S164" s="68"/>
      <c r="T164" s="68"/>
      <c r="U164" s="194"/>
      <c r="V164" s="68"/>
    </row>
    <row r="165" spans="1:22" s="67" customFormat="1" ht="24.75" customHeight="1" x14ac:dyDescent="0.2">
      <c r="A165" s="124" t="s">
        <v>106</v>
      </c>
      <c r="B165" s="118" t="s">
        <v>43</v>
      </c>
      <c r="C165" s="116">
        <v>66</v>
      </c>
      <c r="D165" s="291">
        <v>350</v>
      </c>
      <c r="E165" s="264">
        <f t="shared" si="73"/>
        <v>23100</v>
      </c>
      <c r="F165" s="85">
        <f t="shared" si="74"/>
        <v>9350.8670999999995</v>
      </c>
      <c r="G165" s="96">
        <f t="shared" si="64"/>
        <v>0.40479944155844155</v>
      </c>
      <c r="H165" s="118" t="s">
        <v>43</v>
      </c>
      <c r="I165" s="269">
        <f t="shared" si="75"/>
        <v>92.716763142857147</v>
      </c>
      <c r="J165" s="263">
        <v>350</v>
      </c>
      <c r="K165" s="344">
        <f t="shared" si="76"/>
        <v>32450.867099999999</v>
      </c>
      <c r="L165" s="18" t="s">
        <v>43</v>
      </c>
      <c r="M165" s="9">
        <v>90</v>
      </c>
      <c r="N165" s="10">
        <v>350</v>
      </c>
      <c r="O165" s="173">
        <f t="shared" si="77"/>
        <v>31500</v>
      </c>
      <c r="P165" s="174">
        <v>950.86710000000005</v>
      </c>
      <c r="Q165" s="339"/>
      <c r="R165" s="340"/>
      <c r="S165" s="68"/>
      <c r="T165" s="68"/>
      <c r="U165" s="194"/>
      <c r="V165" s="68"/>
    </row>
    <row r="166" spans="1:22" s="67" customFormat="1" ht="24.75" customHeight="1" x14ac:dyDescent="0.2">
      <c r="A166" s="124" t="s">
        <v>107</v>
      </c>
      <c r="B166" s="118" t="s">
        <v>43</v>
      </c>
      <c r="C166" s="116">
        <v>18</v>
      </c>
      <c r="D166" s="291">
        <v>350</v>
      </c>
      <c r="E166" s="264">
        <f t="shared" si="73"/>
        <v>6300</v>
      </c>
      <c r="F166" s="85">
        <f t="shared" si="74"/>
        <v>1388.9151000000002</v>
      </c>
      <c r="G166" s="96">
        <f t="shared" si="64"/>
        <v>0.22046271428571432</v>
      </c>
      <c r="H166" s="118" t="s">
        <v>43</v>
      </c>
      <c r="I166" s="269">
        <f t="shared" si="75"/>
        <v>21.968328857142858</v>
      </c>
      <c r="J166" s="263">
        <v>350</v>
      </c>
      <c r="K166" s="344">
        <f t="shared" si="76"/>
        <v>7688.9151000000002</v>
      </c>
      <c r="L166" s="18" t="s">
        <v>43</v>
      </c>
      <c r="M166" s="9">
        <v>18</v>
      </c>
      <c r="N166" s="10">
        <v>350</v>
      </c>
      <c r="O166" s="173">
        <f t="shared" si="77"/>
        <v>6300</v>
      </c>
      <c r="P166" s="174">
        <v>1388.9151000000002</v>
      </c>
      <c r="Q166" s="339"/>
      <c r="R166" s="340"/>
      <c r="S166" s="68"/>
      <c r="T166" s="68"/>
      <c r="U166" s="194"/>
      <c r="V166" s="68"/>
    </row>
    <row r="167" spans="1:22" s="67" customFormat="1" ht="24.75" customHeight="1" x14ac:dyDescent="0.2">
      <c r="A167" s="124" t="s">
        <v>108</v>
      </c>
      <c r="B167" s="118" t="s">
        <v>43</v>
      </c>
      <c r="C167" s="116">
        <v>23</v>
      </c>
      <c r="D167" s="291">
        <v>200</v>
      </c>
      <c r="E167" s="264">
        <f t="shared" si="73"/>
        <v>4600</v>
      </c>
      <c r="F167" s="85">
        <f t="shared" si="74"/>
        <v>-748.12620000000015</v>
      </c>
      <c r="G167" s="96">
        <f t="shared" si="64"/>
        <v>-0.16263613043478264</v>
      </c>
      <c r="H167" s="118" t="s">
        <v>43</v>
      </c>
      <c r="I167" s="269">
        <f t="shared" si="75"/>
        <v>11.005353714285715</v>
      </c>
      <c r="J167" s="263">
        <v>350</v>
      </c>
      <c r="K167" s="344">
        <f t="shared" si="76"/>
        <v>3851.8737999999998</v>
      </c>
      <c r="L167" s="18" t="s">
        <v>43</v>
      </c>
      <c r="M167" s="9">
        <v>11</v>
      </c>
      <c r="N167" s="10">
        <v>350</v>
      </c>
      <c r="O167" s="173">
        <f t="shared" si="77"/>
        <v>3850</v>
      </c>
      <c r="P167" s="174">
        <v>1.8738000000000001</v>
      </c>
      <c r="Q167" s="339"/>
      <c r="R167" s="340"/>
      <c r="S167" s="68"/>
      <c r="T167" s="68"/>
      <c r="U167" s="194"/>
      <c r="V167" s="68"/>
    </row>
    <row r="168" spans="1:22" s="67" customFormat="1" ht="24.75" customHeight="1" x14ac:dyDescent="0.2">
      <c r="A168" s="124" t="s">
        <v>78</v>
      </c>
      <c r="B168" s="118" t="s">
        <v>43</v>
      </c>
      <c r="C168" s="279">
        <v>47</v>
      </c>
      <c r="D168" s="291">
        <v>100</v>
      </c>
      <c r="E168" s="264">
        <f t="shared" si="73"/>
        <v>4700</v>
      </c>
      <c r="F168" s="85">
        <f t="shared" si="74"/>
        <v>-2241.2996000000003</v>
      </c>
      <c r="G168" s="96">
        <f t="shared" si="64"/>
        <v>-0.47687225531914901</v>
      </c>
      <c r="H168" s="118" t="s">
        <v>43</v>
      </c>
      <c r="I168" s="269">
        <f t="shared" si="75"/>
        <v>24.587003999999997</v>
      </c>
      <c r="J168" s="263">
        <v>100</v>
      </c>
      <c r="K168" s="344">
        <f t="shared" si="76"/>
        <v>2458.7003999999997</v>
      </c>
      <c r="L168" s="18" t="s">
        <v>43</v>
      </c>
      <c r="M168" s="9">
        <v>21</v>
      </c>
      <c r="N168" s="10">
        <v>100</v>
      </c>
      <c r="O168" s="173">
        <f t="shared" si="77"/>
        <v>2100</v>
      </c>
      <c r="P168" s="174">
        <v>358.70039999999995</v>
      </c>
      <c r="Q168" s="339"/>
      <c r="R168" s="340"/>
      <c r="S168" s="68"/>
      <c r="T168" s="68"/>
      <c r="U168" s="194"/>
      <c r="V168" s="68"/>
    </row>
    <row r="169" spans="1:22" s="67" customFormat="1" ht="24.75" customHeight="1" x14ac:dyDescent="0.2">
      <c r="A169" s="124" t="s">
        <v>79</v>
      </c>
      <c r="B169" s="118" t="s">
        <v>43</v>
      </c>
      <c r="C169" s="279">
        <v>47</v>
      </c>
      <c r="D169" s="291">
        <v>150</v>
      </c>
      <c r="E169" s="264">
        <f t="shared" si="73"/>
        <v>7050</v>
      </c>
      <c r="F169" s="85">
        <f t="shared" si="74"/>
        <v>-3890.5176000000001</v>
      </c>
      <c r="G169" s="96">
        <f t="shared" si="64"/>
        <v>-0.5518464680851064</v>
      </c>
      <c r="H169" s="118" t="s">
        <v>43</v>
      </c>
      <c r="I169" s="269">
        <f t="shared" si="75"/>
        <v>21.063216000000001</v>
      </c>
      <c r="J169" s="263">
        <v>150</v>
      </c>
      <c r="K169" s="344">
        <f t="shared" si="76"/>
        <v>3159.4823999999999</v>
      </c>
      <c r="L169" s="18" t="s">
        <v>43</v>
      </c>
      <c r="M169" s="9">
        <v>21</v>
      </c>
      <c r="N169" s="10">
        <v>150</v>
      </c>
      <c r="O169" s="173">
        <f t="shared" si="77"/>
        <v>3150</v>
      </c>
      <c r="P169" s="174">
        <v>9.4824000000000037</v>
      </c>
      <c r="Q169" s="339"/>
      <c r="R169" s="340"/>
      <c r="S169" s="68"/>
      <c r="T169" s="68"/>
      <c r="U169" s="194"/>
      <c r="V169" s="68"/>
    </row>
    <row r="170" spans="1:22" s="67" customFormat="1" ht="24.75" customHeight="1" x14ac:dyDescent="0.2">
      <c r="A170" s="125" t="s">
        <v>258</v>
      </c>
      <c r="B170" s="118" t="s">
        <v>39</v>
      </c>
      <c r="C170" s="116">
        <v>0</v>
      </c>
      <c r="D170" s="291">
        <v>0</v>
      </c>
      <c r="E170" s="264">
        <f>+C170*D170</f>
        <v>0</v>
      </c>
      <c r="F170" s="85">
        <f t="shared" si="74"/>
        <v>21600</v>
      </c>
      <c r="G170" s="96" t="e">
        <f>F170/E170</f>
        <v>#DIV/0!</v>
      </c>
      <c r="H170" s="118" t="s">
        <v>39</v>
      </c>
      <c r="I170" s="269">
        <f t="shared" si="75"/>
        <v>18</v>
      </c>
      <c r="J170" s="291">
        <v>1200</v>
      </c>
      <c r="K170" s="344">
        <f t="shared" si="76"/>
        <v>21600</v>
      </c>
      <c r="L170" s="18" t="s">
        <v>39</v>
      </c>
      <c r="M170" s="9">
        <f>1*6*3</f>
        <v>18</v>
      </c>
      <c r="N170" s="19">
        <v>1200</v>
      </c>
      <c r="O170" s="173">
        <f>M170*N170</f>
        <v>21600</v>
      </c>
      <c r="P170" s="174">
        <v>0</v>
      </c>
      <c r="Q170" s="339"/>
      <c r="R170" s="340"/>
      <c r="S170" s="68"/>
      <c r="T170" s="68"/>
      <c r="U170" s="194"/>
      <c r="V170" s="68"/>
    </row>
    <row r="171" spans="1:22" s="67" customFormat="1" ht="24.75" customHeight="1" x14ac:dyDescent="0.2">
      <c r="A171" s="73" t="s">
        <v>133</v>
      </c>
      <c r="B171" s="120"/>
      <c r="C171" s="279"/>
      <c r="D171" s="263"/>
      <c r="E171" s="264"/>
      <c r="F171" s="85"/>
      <c r="G171" s="96"/>
      <c r="H171" s="120"/>
      <c r="I171" s="116"/>
      <c r="J171" s="263"/>
      <c r="K171" s="344"/>
      <c r="L171" s="8"/>
      <c r="M171" s="9"/>
      <c r="N171" s="10"/>
      <c r="O171" s="173"/>
      <c r="P171" s="174"/>
      <c r="Q171" s="339"/>
      <c r="R171" s="340"/>
      <c r="S171" s="68"/>
      <c r="T171" s="68"/>
      <c r="U171" s="194"/>
      <c r="V171" s="68"/>
    </row>
    <row r="172" spans="1:22" s="67" customFormat="1" ht="24.75" customHeight="1" x14ac:dyDescent="0.2">
      <c r="A172" s="125" t="s">
        <v>80</v>
      </c>
      <c r="B172" s="120" t="s">
        <v>29</v>
      </c>
      <c r="C172" s="116">
        <v>930</v>
      </c>
      <c r="D172" s="263">
        <v>203</v>
      </c>
      <c r="E172" s="264">
        <f t="shared" ref="E172" si="78">+C172*D172</f>
        <v>188790</v>
      </c>
      <c r="F172" s="85">
        <f>-E172+K172</f>
        <v>22410</v>
      </c>
      <c r="G172" s="96">
        <f t="shared" si="64"/>
        <v>0.11870332115048467</v>
      </c>
      <c r="H172" s="120" t="s">
        <v>29</v>
      </c>
      <c r="I172" s="269">
        <f>K172/J172</f>
        <v>960</v>
      </c>
      <c r="J172" s="263">
        <v>220</v>
      </c>
      <c r="K172" s="344">
        <f>O172+P172</f>
        <v>211200</v>
      </c>
      <c r="L172" s="8" t="s">
        <v>29</v>
      </c>
      <c r="M172" s="9">
        <v>960</v>
      </c>
      <c r="N172" s="10">
        <v>220</v>
      </c>
      <c r="O172" s="173">
        <f>M172*N172</f>
        <v>211200</v>
      </c>
      <c r="P172" s="174">
        <v>0</v>
      </c>
      <c r="Q172" s="339"/>
      <c r="R172" s="340"/>
      <c r="S172" s="68"/>
      <c r="T172" s="68"/>
      <c r="U172" s="194"/>
      <c r="V172" s="68"/>
    </row>
    <row r="173" spans="1:22" s="67" customFormat="1" ht="24.75" customHeight="1" x14ac:dyDescent="0.2">
      <c r="A173" s="125" t="s">
        <v>337</v>
      </c>
      <c r="B173" s="120"/>
      <c r="C173" s="279"/>
      <c r="D173" s="263"/>
      <c r="E173" s="264"/>
      <c r="F173" s="85"/>
      <c r="G173" s="96"/>
      <c r="H173" s="120"/>
      <c r="I173" s="116"/>
      <c r="J173" s="263"/>
      <c r="K173" s="344"/>
      <c r="L173" s="8"/>
      <c r="M173" s="9"/>
      <c r="N173" s="10"/>
      <c r="O173" s="173"/>
      <c r="P173" s="174"/>
      <c r="Q173" s="339"/>
      <c r="R173" s="340"/>
      <c r="S173" s="68"/>
      <c r="T173" s="68"/>
      <c r="U173" s="194"/>
      <c r="V173" s="68"/>
    </row>
    <row r="174" spans="1:22" s="67" customFormat="1" ht="24.75" customHeight="1" x14ac:dyDescent="0.2">
      <c r="A174" s="125" t="s">
        <v>81</v>
      </c>
      <c r="B174" s="120" t="s">
        <v>15</v>
      </c>
      <c r="C174" s="279">
        <v>30</v>
      </c>
      <c r="D174" s="263">
        <v>500</v>
      </c>
      <c r="E174" s="264">
        <f t="shared" ref="E174:E175" si="79">+C174*D174</f>
        <v>15000</v>
      </c>
      <c r="F174" s="85">
        <f t="shared" ref="F174:F175" si="80">-E174+K174</f>
        <v>-4500</v>
      </c>
      <c r="G174" s="96">
        <f t="shared" si="64"/>
        <v>-0.3</v>
      </c>
      <c r="H174" s="120" t="s">
        <v>15</v>
      </c>
      <c r="I174" s="269">
        <f t="shared" ref="I174:I175" si="81">K174/J174</f>
        <v>21</v>
      </c>
      <c r="J174" s="263">
        <v>500</v>
      </c>
      <c r="K174" s="344">
        <f>O174+P174</f>
        <v>10500</v>
      </c>
      <c r="L174" s="8" t="s">
        <v>15</v>
      </c>
      <c r="M174" s="9">
        <v>21</v>
      </c>
      <c r="N174" s="10">
        <v>500</v>
      </c>
      <c r="O174" s="173">
        <f t="shared" ref="O174:O175" si="82">M174*N174</f>
        <v>10500</v>
      </c>
      <c r="P174" s="174">
        <v>0</v>
      </c>
      <c r="Q174" s="339"/>
      <c r="R174" s="340"/>
      <c r="S174" s="68"/>
      <c r="T174" s="68"/>
      <c r="U174" s="194"/>
      <c r="V174" s="68"/>
    </row>
    <row r="175" spans="1:22" s="67" customFormat="1" ht="24.75" customHeight="1" x14ac:dyDescent="0.2">
      <c r="A175" s="125" t="s">
        <v>198</v>
      </c>
      <c r="B175" s="120" t="s">
        <v>15</v>
      </c>
      <c r="C175" s="279">
        <v>30</v>
      </c>
      <c r="D175" s="263">
        <v>800</v>
      </c>
      <c r="E175" s="264">
        <f t="shared" si="79"/>
        <v>24000</v>
      </c>
      <c r="F175" s="85">
        <f t="shared" si="80"/>
        <v>16800</v>
      </c>
      <c r="G175" s="96">
        <f t="shared" si="64"/>
        <v>0.7</v>
      </c>
      <c r="H175" s="120" t="s">
        <v>15</v>
      </c>
      <c r="I175" s="269">
        <f t="shared" si="81"/>
        <v>51</v>
      </c>
      <c r="J175" s="263">
        <v>800</v>
      </c>
      <c r="K175" s="344">
        <f>O175+P175</f>
        <v>40800</v>
      </c>
      <c r="L175" s="8" t="s">
        <v>15</v>
      </c>
      <c r="M175" s="9">
        <v>51</v>
      </c>
      <c r="N175" s="10">
        <v>800</v>
      </c>
      <c r="O175" s="173">
        <f t="shared" si="82"/>
        <v>40800</v>
      </c>
      <c r="P175" s="174">
        <v>0</v>
      </c>
      <c r="Q175" s="339"/>
      <c r="R175" s="340"/>
      <c r="S175" s="68"/>
      <c r="T175" s="68"/>
      <c r="U175" s="194"/>
      <c r="V175" s="68"/>
    </row>
    <row r="176" spans="1:22" s="67" customFormat="1" ht="24.75" customHeight="1" x14ac:dyDescent="0.2">
      <c r="A176" s="73" t="s">
        <v>82</v>
      </c>
      <c r="B176" s="120"/>
      <c r="C176" s="279"/>
      <c r="D176" s="263"/>
      <c r="E176" s="264"/>
      <c r="F176" s="85"/>
      <c r="G176" s="96"/>
      <c r="H176" s="120"/>
      <c r="I176" s="116"/>
      <c r="J176" s="263">
        <f>I177*J177</f>
        <v>15900</v>
      </c>
      <c r="K176" s="344"/>
      <c r="L176" s="8"/>
      <c r="M176" s="9"/>
      <c r="N176" s="10"/>
      <c r="O176" s="173"/>
      <c r="P176" s="174"/>
      <c r="Q176" s="339"/>
      <c r="R176" s="340"/>
      <c r="S176" s="68"/>
      <c r="T176" s="68"/>
      <c r="U176" s="194"/>
      <c r="V176" s="68"/>
    </row>
    <row r="177" spans="1:22" s="67" customFormat="1" ht="24.75" customHeight="1" x14ac:dyDescent="0.2">
      <c r="A177" s="125" t="s">
        <v>109</v>
      </c>
      <c r="B177" s="120" t="s">
        <v>84</v>
      </c>
      <c r="C177" s="279">
        <v>3000</v>
      </c>
      <c r="D177" s="263">
        <v>15</v>
      </c>
      <c r="E177" s="264">
        <f t="shared" ref="E177:E178" si="83">+C177*D177</f>
        <v>45000</v>
      </c>
      <c r="F177" s="85">
        <f t="shared" ref="F177:F178" si="84">-E177+K177</f>
        <v>-29100</v>
      </c>
      <c r="G177" s="96">
        <f t="shared" si="64"/>
        <v>-0.64666666666666661</v>
      </c>
      <c r="H177" s="120" t="s">
        <v>84</v>
      </c>
      <c r="I177" s="269">
        <f>K177/J177</f>
        <v>530</v>
      </c>
      <c r="J177" s="263">
        <v>30</v>
      </c>
      <c r="K177" s="344">
        <f>(1250*J177)-K170</f>
        <v>15900</v>
      </c>
      <c r="L177" s="8" t="s">
        <v>84</v>
      </c>
      <c r="M177" s="9">
        <v>1250</v>
      </c>
      <c r="N177" s="10">
        <v>30</v>
      </c>
      <c r="O177" s="173">
        <f>(M177*N177)-O170</f>
        <v>15900</v>
      </c>
      <c r="P177" s="174">
        <v>0</v>
      </c>
      <c r="Q177" s="339"/>
      <c r="R177" s="340"/>
      <c r="S177" s="68"/>
      <c r="T177" s="68"/>
      <c r="U177" s="194"/>
      <c r="V177" s="68"/>
    </row>
    <row r="178" spans="1:22" s="67" customFormat="1" ht="24.75" customHeight="1" thickBot="1" x14ac:dyDescent="0.25">
      <c r="A178" s="80" t="s">
        <v>134</v>
      </c>
      <c r="B178" s="120" t="s">
        <v>85</v>
      </c>
      <c r="C178" s="279">
        <v>200</v>
      </c>
      <c r="D178" s="263">
        <v>20</v>
      </c>
      <c r="E178" s="264">
        <f t="shared" si="83"/>
        <v>4000</v>
      </c>
      <c r="F178" s="85">
        <f t="shared" si="84"/>
        <v>-3136</v>
      </c>
      <c r="G178" s="96">
        <f t="shared" si="64"/>
        <v>-0.78400000000000003</v>
      </c>
      <c r="H178" s="272" t="s">
        <v>85</v>
      </c>
      <c r="I178" s="269">
        <f t="shared" ref="I178" si="85">K178/J178</f>
        <v>43.2</v>
      </c>
      <c r="J178" s="274">
        <v>20</v>
      </c>
      <c r="K178" s="344">
        <f>O178+P178</f>
        <v>864</v>
      </c>
      <c r="L178" s="24" t="s">
        <v>85</v>
      </c>
      <c r="M178" s="54">
        <v>43.2</v>
      </c>
      <c r="N178" s="25">
        <v>20</v>
      </c>
      <c r="O178" s="173">
        <f t="shared" ref="O178" si="86">M178*N178</f>
        <v>864</v>
      </c>
      <c r="P178" s="187">
        <v>0</v>
      </c>
      <c r="Q178" s="339"/>
      <c r="R178" s="340"/>
      <c r="S178" s="68"/>
      <c r="T178" s="68"/>
      <c r="U178" s="194"/>
      <c r="V178" s="68"/>
    </row>
    <row r="179" spans="1:22" s="67" customFormat="1" ht="24.75" customHeight="1" thickBot="1" x14ac:dyDescent="0.25">
      <c r="A179" s="59" t="s">
        <v>110</v>
      </c>
      <c r="B179" s="60"/>
      <c r="C179" s="61"/>
      <c r="D179" s="62"/>
      <c r="E179" s="64">
        <f>SUM(E154:E178)</f>
        <v>648978</v>
      </c>
      <c r="F179" s="89">
        <f>-E179+K179</f>
        <v>-90902.060311453999</v>
      </c>
      <c r="G179" s="97">
        <f>F179/E179</f>
        <v>-0.14006955599643439</v>
      </c>
      <c r="H179" s="63"/>
      <c r="I179" s="61"/>
      <c r="J179" s="62"/>
      <c r="K179" s="353">
        <f>SUM(K154:K178)</f>
        <v>558075.939688546</v>
      </c>
      <c r="L179" s="63"/>
      <c r="M179" s="61"/>
      <c r="N179" s="62"/>
      <c r="O179" s="175">
        <f>SUM(O154:O178)</f>
        <v>533734</v>
      </c>
      <c r="P179" s="175">
        <f>SUM(P154:P178)</f>
        <v>24513.339688546017</v>
      </c>
      <c r="Q179" s="339"/>
      <c r="R179" s="340"/>
      <c r="S179" s="68"/>
      <c r="T179" s="68"/>
      <c r="U179" s="194"/>
      <c r="V179" s="68"/>
    </row>
    <row r="180" spans="1:22" s="67" customFormat="1" ht="24.75" customHeight="1" thickBot="1" x14ac:dyDescent="0.25">
      <c r="A180" s="152" t="s">
        <v>348</v>
      </c>
      <c r="B180" s="38"/>
      <c r="C180" s="39"/>
      <c r="D180" s="40"/>
      <c r="E180" s="49"/>
      <c r="F180" s="52"/>
      <c r="G180" s="99"/>
      <c r="H180" s="52"/>
      <c r="I180" s="40"/>
      <c r="J180" s="40"/>
      <c r="K180" s="354"/>
      <c r="L180" s="52"/>
      <c r="M180" s="40"/>
      <c r="N180" s="40"/>
      <c r="O180" s="178"/>
      <c r="P180" s="178"/>
      <c r="Q180" s="339"/>
      <c r="R180" s="340"/>
      <c r="S180" s="68"/>
      <c r="T180" s="68"/>
      <c r="U180" s="194"/>
      <c r="V180" s="68"/>
    </row>
    <row r="181" spans="1:22" s="67" customFormat="1" ht="24.75" customHeight="1" x14ac:dyDescent="0.2">
      <c r="A181" s="76" t="s">
        <v>170</v>
      </c>
      <c r="B181" s="303"/>
      <c r="C181" s="279"/>
      <c r="D181" s="263"/>
      <c r="E181" s="304"/>
      <c r="F181" s="90"/>
      <c r="G181" s="98"/>
      <c r="H181" s="120"/>
      <c r="I181" s="279"/>
      <c r="J181" s="263"/>
      <c r="K181" s="344"/>
      <c r="L181" s="8"/>
      <c r="M181" s="11"/>
      <c r="N181" s="10"/>
      <c r="O181" s="173"/>
      <c r="P181" s="174"/>
      <c r="Q181" s="339"/>
      <c r="R181" s="340"/>
      <c r="S181" s="68"/>
      <c r="T181" s="68"/>
      <c r="U181" s="194"/>
      <c r="V181" s="68"/>
    </row>
    <row r="182" spans="1:22" s="67" customFormat="1" ht="24.75" customHeight="1" x14ac:dyDescent="0.2">
      <c r="A182" s="125" t="s">
        <v>171</v>
      </c>
      <c r="B182" s="113" t="s">
        <v>68</v>
      </c>
      <c r="C182" s="279">
        <v>0</v>
      </c>
      <c r="D182" s="263">
        <v>250</v>
      </c>
      <c r="E182" s="264">
        <f t="shared" ref="E182:E183" si="87">+C182*D182</f>
        <v>0</v>
      </c>
      <c r="F182" s="85">
        <f>-E182+K182</f>
        <v>0</v>
      </c>
      <c r="G182" s="96" t="str">
        <f>IFERROR(F182/E182,"-")</f>
        <v>-</v>
      </c>
      <c r="H182" s="120" t="s">
        <v>68</v>
      </c>
      <c r="I182" s="279">
        <f>K182/J182</f>
        <v>0</v>
      </c>
      <c r="J182" s="263">
        <v>250</v>
      </c>
      <c r="K182" s="344">
        <f>O182+P182</f>
        <v>0</v>
      </c>
      <c r="L182" s="8" t="s">
        <v>68</v>
      </c>
      <c r="M182" s="11">
        <v>0</v>
      </c>
      <c r="N182" s="10">
        <v>250</v>
      </c>
      <c r="O182" s="173">
        <f t="shared" ref="O182:O183" si="88">M182*N182</f>
        <v>0</v>
      </c>
      <c r="P182" s="174">
        <v>0</v>
      </c>
      <c r="Q182" s="339"/>
      <c r="R182" s="340"/>
      <c r="S182" s="68"/>
      <c r="T182" s="68"/>
      <c r="U182" s="194"/>
      <c r="V182" s="68"/>
    </row>
    <row r="183" spans="1:22" s="67" customFormat="1" ht="24.75" customHeight="1" x14ac:dyDescent="0.2">
      <c r="A183" s="125" t="s">
        <v>172</v>
      </c>
      <c r="B183" s="113" t="s">
        <v>66</v>
      </c>
      <c r="C183" s="279">
        <v>0</v>
      </c>
      <c r="D183" s="263">
        <v>220</v>
      </c>
      <c r="E183" s="264">
        <f t="shared" si="87"/>
        <v>0</v>
      </c>
      <c r="F183" s="85">
        <f>-E183+K183</f>
        <v>26400</v>
      </c>
      <c r="G183" s="96">
        <v>1</v>
      </c>
      <c r="H183" s="120" t="s">
        <v>66</v>
      </c>
      <c r="I183" s="279">
        <f>K183/J183</f>
        <v>120</v>
      </c>
      <c r="J183" s="263">
        <v>220</v>
      </c>
      <c r="K183" s="344">
        <f>O183+P183</f>
        <v>26400</v>
      </c>
      <c r="L183" s="8" t="s">
        <v>66</v>
      </c>
      <c r="M183" s="11">
        <v>120</v>
      </c>
      <c r="N183" s="10">
        <v>220</v>
      </c>
      <c r="O183" s="173">
        <f t="shared" si="88"/>
        <v>26400</v>
      </c>
      <c r="P183" s="174">
        <v>0</v>
      </c>
      <c r="Q183" s="339"/>
      <c r="R183" s="340"/>
      <c r="S183" s="68"/>
      <c r="T183" s="68"/>
      <c r="U183" s="194"/>
      <c r="V183" s="68"/>
    </row>
    <row r="184" spans="1:22" s="67" customFormat="1" ht="24.75" customHeight="1" x14ac:dyDescent="0.2">
      <c r="A184" s="76" t="s">
        <v>173</v>
      </c>
      <c r="B184" s="303"/>
      <c r="C184" s="279"/>
      <c r="D184" s="263"/>
      <c r="E184" s="264"/>
      <c r="F184" s="85"/>
      <c r="G184" s="96"/>
      <c r="H184" s="120"/>
      <c r="I184" s="279"/>
      <c r="J184" s="263"/>
      <c r="K184" s="344"/>
      <c r="L184" s="8"/>
      <c r="M184" s="11"/>
      <c r="N184" s="10"/>
      <c r="O184" s="173"/>
      <c r="P184" s="174"/>
      <c r="Q184" s="339"/>
      <c r="R184" s="340"/>
      <c r="S184" s="68"/>
      <c r="T184" s="68"/>
      <c r="U184" s="194"/>
      <c r="V184" s="68"/>
    </row>
    <row r="185" spans="1:22" s="67" customFormat="1" ht="24.75" customHeight="1" x14ac:dyDescent="0.2">
      <c r="A185" s="125" t="s">
        <v>174</v>
      </c>
      <c r="B185" s="113" t="s">
        <v>68</v>
      </c>
      <c r="C185" s="279">
        <v>0</v>
      </c>
      <c r="D185" s="263">
        <v>250</v>
      </c>
      <c r="E185" s="264">
        <f t="shared" ref="E185:E186" si="89">+C185*D185</f>
        <v>0</v>
      </c>
      <c r="F185" s="85">
        <f t="shared" ref="F185:F186" si="90">-E185+K185</f>
        <v>0</v>
      </c>
      <c r="G185" s="96" t="str">
        <f>IFERROR(F185/E185,"-")</f>
        <v>-</v>
      </c>
      <c r="H185" s="120" t="s">
        <v>68</v>
      </c>
      <c r="I185" s="279">
        <f t="shared" ref="I185:I186" si="91">K185/J185</f>
        <v>0</v>
      </c>
      <c r="J185" s="263">
        <v>250</v>
      </c>
      <c r="K185" s="344">
        <f>O185+P185</f>
        <v>0</v>
      </c>
      <c r="L185" s="8" t="s">
        <v>68</v>
      </c>
      <c r="M185" s="11">
        <v>0</v>
      </c>
      <c r="N185" s="10">
        <v>250</v>
      </c>
      <c r="O185" s="173">
        <f t="shared" ref="O185:O186" si="92">M185*N185</f>
        <v>0</v>
      </c>
      <c r="P185" s="174">
        <v>0</v>
      </c>
      <c r="Q185" s="339"/>
      <c r="R185" s="340"/>
      <c r="S185" s="68"/>
      <c r="T185" s="68"/>
      <c r="U185" s="194"/>
      <c r="V185" s="68"/>
    </row>
    <row r="186" spans="1:22" s="67" customFormat="1" ht="24.75" customHeight="1" x14ac:dyDescent="0.2">
      <c r="A186" s="125" t="s">
        <v>71</v>
      </c>
      <c r="B186" s="113" t="s">
        <v>66</v>
      </c>
      <c r="C186" s="279">
        <v>0</v>
      </c>
      <c r="D186" s="263">
        <v>213</v>
      </c>
      <c r="E186" s="264">
        <f t="shared" si="89"/>
        <v>0</v>
      </c>
      <c r="F186" s="85">
        <f t="shared" si="90"/>
        <v>64260</v>
      </c>
      <c r="G186" s="96">
        <v>1</v>
      </c>
      <c r="H186" s="120" t="s">
        <v>66</v>
      </c>
      <c r="I186" s="279">
        <f t="shared" si="91"/>
        <v>270</v>
      </c>
      <c r="J186" s="263">
        <v>238</v>
      </c>
      <c r="K186" s="344">
        <f>O186+P186</f>
        <v>64260</v>
      </c>
      <c r="L186" s="8" t="s">
        <v>66</v>
      </c>
      <c r="M186" s="11">
        <v>270</v>
      </c>
      <c r="N186" s="10">
        <v>238</v>
      </c>
      <c r="O186" s="173">
        <f t="shared" si="92"/>
        <v>64260</v>
      </c>
      <c r="P186" s="174">
        <v>0</v>
      </c>
      <c r="Q186" s="339"/>
      <c r="R186" s="340"/>
      <c r="S186" s="68"/>
      <c r="T186" s="68"/>
      <c r="U186" s="194"/>
      <c r="V186" s="68"/>
    </row>
    <row r="187" spans="1:22" s="67" customFormat="1" ht="24.75" customHeight="1" x14ac:dyDescent="0.2">
      <c r="A187" s="76" t="s">
        <v>72</v>
      </c>
      <c r="B187" s="114"/>
      <c r="C187" s="279"/>
      <c r="D187" s="263"/>
      <c r="E187" s="264"/>
      <c r="F187" s="85"/>
      <c r="G187" s="96"/>
      <c r="H187" s="120"/>
      <c r="I187" s="279"/>
      <c r="J187" s="263"/>
      <c r="K187" s="344"/>
      <c r="L187" s="8"/>
      <c r="M187" s="11"/>
      <c r="N187" s="10"/>
      <c r="O187" s="173"/>
      <c r="P187" s="174"/>
      <c r="Q187" s="339"/>
      <c r="R187" s="340"/>
      <c r="S187" s="68"/>
      <c r="T187" s="68"/>
      <c r="U187" s="194"/>
      <c r="V187" s="68"/>
    </row>
    <row r="188" spans="1:22" s="67" customFormat="1" ht="24.75" customHeight="1" x14ac:dyDescent="0.2">
      <c r="A188" s="125" t="s">
        <v>175</v>
      </c>
      <c r="B188" s="114" t="s">
        <v>39</v>
      </c>
      <c r="C188" s="279">
        <v>0</v>
      </c>
      <c r="D188" s="263">
        <v>1200</v>
      </c>
      <c r="E188" s="264">
        <f t="shared" ref="E188:E192" si="93">+C188*D188</f>
        <v>0</v>
      </c>
      <c r="F188" s="85">
        <f t="shared" ref="F188:F192" si="94">-E188+K188</f>
        <v>104000</v>
      </c>
      <c r="G188" s="96">
        <v>1</v>
      </c>
      <c r="H188" s="120" t="s">
        <v>39</v>
      </c>
      <c r="I188" s="279">
        <f t="shared" ref="I188:I192" si="95">K188/J188</f>
        <v>80</v>
      </c>
      <c r="J188" s="263">
        <v>1300</v>
      </c>
      <c r="K188" s="344">
        <f>O188+P188</f>
        <v>104000</v>
      </c>
      <c r="L188" s="8" t="s">
        <v>39</v>
      </c>
      <c r="M188" s="11">
        <v>80</v>
      </c>
      <c r="N188" s="10">
        <v>1300</v>
      </c>
      <c r="O188" s="173">
        <f t="shared" ref="O188:O192" si="96">M188*N188</f>
        <v>104000</v>
      </c>
      <c r="P188" s="174">
        <v>0</v>
      </c>
      <c r="Q188" s="339"/>
      <c r="R188" s="340"/>
      <c r="S188" s="68"/>
      <c r="T188" s="68"/>
      <c r="U188" s="194"/>
      <c r="V188" s="68"/>
    </row>
    <row r="189" spans="1:22" s="67" customFormat="1" ht="24.75" customHeight="1" x14ac:dyDescent="0.2">
      <c r="A189" s="125" t="s">
        <v>176</v>
      </c>
      <c r="B189" s="114" t="s">
        <v>43</v>
      </c>
      <c r="C189" s="279">
        <v>0</v>
      </c>
      <c r="D189" s="263">
        <v>350</v>
      </c>
      <c r="E189" s="264">
        <f t="shared" si="93"/>
        <v>0</v>
      </c>
      <c r="F189" s="85">
        <f t="shared" si="94"/>
        <v>42000</v>
      </c>
      <c r="G189" s="96">
        <v>1</v>
      </c>
      <c r="H189" s="120" t="s">
        <v>43</v>
      </c>
      <c r="I189" s="279">
        <f t="shared" si="95"/>
        <v>120</v>
      </c>
      <c r="J189" s="263">
        <v>350</v>
      </c>
      <c r="K189" s="344">
        <f>O189+P189</f>
        <v>42000</v>
      </c>
      <c r="L189" s="8" t="s">
        <v>43</v>
      </c>
      <c r="M189" s="11">
        <v>120</v>
      </c>
      <c r="N189" s="10">
        <v>350</v>
      </c>
      <c r="O189" s="173">
        <f t="shared" si="96"/>
        <v>42000</v>
      </c>
      <c r="P189" s="174">
        <v>0</v>
      </c>
      <c r="Q189" s="339"/>
      <c r="R189" s="340"/>
      <c r="S189" s="68"/>
      <c r="T189" s="68"/>
      <c r="U189" s="194"/>
      <c r="V189" s="68"/>
    </row>
    <row r="190" spans="1:22" s="67" customFormat="1" ht="24.75" customHeight="1" x14ac:dyDescent="0.2">
      <c r="A190" s="125" t="s">
        <v>177</v>
      </c>
      <c r="B190" s="114" t="s">
        <v>43</v>
      </c>
      <c r="C190" s="279">
        <v>0</v>
      </c>
      <c r="D190" s="263">
        <v>200</v>
      </c>
      <c r="E190" s="264">
        <f t="shared" si="93"/>
        <v>0</v>
      </c>
      <c r="F190" s="85">
        <f t="shared" si="94"/>
        <v>14000</v>
      </c>
      <c r="G190" s="96">
        <v>1</v>
      </c>
      <c r="H190" s="120" t="s">
        <v>43</v>
      </c>
      <c r="I190" s="279">
        <f t="shared" si="95"/>
        <v>40</v>
      </c>
      <c r="J190" s="263">
        <v>350</v>
      </c>
      <c r="K190" s="344">
        <f>O190+P190</f>
        <v>14000</v>
      </c>
      <c r="L190" s="8" t="s">
        <v>43</v>
      </c>
      <c r="M190" s="11">
        <v>40</v>
      </c>
      <c r="N190" s="10">
        <v>350</v>
      </c>
      <c r="O190" s="173">
        <f t="shared" si="96"/>
        <v>14000</v>
      </c>
      <c r="P190" s="174">
        <v>0</v>
      </c>
      <c r="Q190" s="339"/>
      <c r="R190" s="340"/>
      <c r="S190" s="68"/>
      <c r="T190" s="68"/>
      <c r="U190" s="194"/>
      <c r="V190" s="68"/>
    </row>
    <row r="191" spans="1:22" s="67" customFormat="1" ht="24.75" customHeight="1" x14ac:dyDescent="0.2">
      <c r="A191" s="125" t="s">
        <v>78</v>
      </c>
      <c r="B191" s="114" t="s">
        <v>43</v>
      </c>
      <c r="C191" s="279">
        <v>0</v>
      </c>
      <c r="D191" s="263">
        <v>100</v>
      </c>
      <c r="E191" s="264">
        <f t="shared" si="93"/>
        <v>0</v>
      </c>
      <c r="F191" s="85">
        <f t="shared" si="94"/>
        <v>8000</v>
      </c>
      <c r="G191" s="96">
        <v>1</v>
      </c>
      <c r="H191" s="120" t="s">
        <v>43</v>
      </c>
      <c r="I191" s="279">
        <f t="shared" si="95"/>
        <v>80</v>
      </c>
      <c r="J191" s="263">
        <v>100</v>
      </c>
      <c r="K191" s="344">
        <f>O191+P191</f>
        <v>8000</v>
      </c>
      <c r="L191" s="8" t="s">
        <v>43</v>
      </c>
      <c r="M191" s="11">
        <v>80</v>
      </c>
      <c r="N191" s="10">
        <v>100</v>
      </c>
      <c r="O191" s="173">
        <f t="shared" si="96"/>
        <v>8000</v>
      </c>
      <c r="P191" s="174">
        <v>0</v>
      </c>
      <c r="Q191" s="339"/>
      <c r="R191" s="340"/>
      <c r="S191" s="68"/>
      <c r="T191" s="68"/>
      <c r="U191" s="194"/>
      <c r="V191" s="68"/>
    </row>
    <row r="192" spans="1:22" s="67" customFormat="1" ht="24.75" customHeight="1" thickBot="1" x14ac:dyDescent="0.25">
      <c r="A192" s="125" t="s">
        <v>79</v>
      </c>
      <c r="B192" s="114" t="s">
        <v>43</v>
      </c>
      <c r="C192" s="279">
        <v>0</v>
      </c>
      <c r="D192" s="263">
        <v>150</v>
      </c>
      <c r="E192" s="264">
        <f t="shared" si="93"/>
        <v>0</v>
      </c>
      <c r="F192" s="85">
        <f t="shared" si="94"/>
        <v>12000</v>
      </c>
      <c r="G192" s="96">
        <v>1</v>
      </c>
      <c r="H192" s="120" t="s">
        <v>43</v>
      </c>
      <c r="I192" s="279">
        <f t="shared" si="95"/>
        <v>80</v>
      </c>
      <c r="J192" s="263">
        <v>150</v>
      </c>
      <c r="K192" s="344">
        <f>O192+P192</f>
        <v>12000</v>
      </c>
      <c r="L192" s="8" t="s">
        <v>43</v>
      </c>
      <c r="M192" s="11">
        <v>80</v>
      </c>
      <c r="N192" s="10">
        <v>150</v>
      </c>
      <c r="O192" s="173">
        <f t="shared" si="96"/>
        <v>12000</v>
      </c>
      <c r="P192" s="174">
        <v>0</v>
      </c>
      <c r="Q192" s="339"/>
      <c r="R192" s="340"/>
      <c r="S192" s="68"/>
      <c r="T192" s="68"/>
      <c r="U192" s="194"/>
      <c r="V192" s="68"/>
    </row>
    <row r="193" spans="1:22" s="67" customFormat="1" ht="24.75" customHeight="1" thickBot="1" x14ac:dyDescent="0.25">
      <c r="A193" s="59" t="s">
        <v>190</v>
      </c>
      <c r="B193" s="60"/>
      <c r="C193" s="61"/>
      <c r="D193" s="62"/>
      <c r="E193" s="64">
        <f>SUM(E181:E192)</f>
        <v>0</v>
      </c>
      <c r="F193" s="89">
        <f>-E193+K193</f>
        <v>270660</v>
      </c>
      <c r="G193" s="97">
        <v>1</v>
      </c>
      <c r="H193" s="63"/>
      <c r="I193" s="61"/>
      <c r="J193" s="62"/>
      <c r="K193" s="353">
        <f>SUM(K181:K192)</f>
        <v>270660</v>
      </c>
      <c r="L193" s="63"/>
      <c r="M193" s="61"/>
      <c r="N193" s="62"/>
      <c r="O193" s="175">
        <f>SUM(O181:O192)</f>
        <v>270660</v>
      </c>
      <c r="P193" s="175">
        <f>SUM(P181:P192)</f>
        <v>0</v>
      </c>
      <c r="Q193" s="339"/>
      <c r="R193" s="340"/>
      <c r="S193" s="68"/>
      <c r="T193" s="68"/>
      <c r="U193" s="194"/>
      <c r="V193" s="68"/>
    </row>
    <row r="194" spans="1:22" s="67" customFormat="1" ht="24.75" customHeight="1" x14ac:dyDescent="0.2">
      <c r="A194" s="4" t="s">
        <v>135</v>
      </c>
      <c r="B194" s="33"/>
      <c r="C194" s="6"/>
      <c r="D194" s="7"/>
      <c r="E194" s="264"/>
      <c r="F194" s="86"/>
      <c r="G194" s="95"/>
      <c r="H194" s="33"/>
      <c r="I194" s="6"/>
      <c r="J194" s="7"/>
      <c r="K194" s="346"/>
      <c r="L194" s="33"/>
      <c r="M194" s="6"/>
      <c r="N194" s="7"/>
      <c r="O194" s="176"/>
      <c r="P194" s="176"/>
      <c r="Q194" s="339"/>
      <c r="R194" s="340"/>
      <c r="S194" s="68"/>
      <c r="T194" s="68"/>
      <c r="U194" s="194"/>
      <c r="V194" s="68"/>
    </row>
    <row r="195" spans="1:22" s="67" customFormat="1" ht="24.75" customHeight="1" x14ac:dyDescent="0.2">
      <c r="A195" s="220" t="s">
        <v>194</v>
      </c>
      <c r="B195" s="280" t="s">
        <v>84</v>
      </c>
      <c r="C195" s="281">
        <v>200000</v>
      </c>
      <c r="D195" s="282">
        <v>0.3</v>
      </c>
      <c r="E195" s="283">
        <f t="shared" ref="E195" si="97">+C195*D195</f>
        <v>60000</v>
      </c>
      <c r="F195" s="224">
        <f>-E195+K196+K197+K198</f>
        <v>-9000</v>
      </c>
      <c r="G195" s="225">
        <f>F195/E195</f>
        <v>-0.15</v>
      </c>
      <c r="H195" s="280"/>
      <c r="I195" s="281"/>
      <c r="J195" s="282"/>
      <c r="K195" s="348"/>
      <c r="L195" s="221"/>
      <c r="M195" s="222"/>
      <c r="N195" s="223"/>
      <c r="O195" s="226"/>
      <c r="P195" s="226">
        <v>0</v>
      </c>
      <c r="Q195" s="339"/>
      <c r="R195" s="340"/>
      <c r="S195" s="68"/>
      <c r="T195" s="68"/>
      <c r="U195" s="194"/>
      <c r="V195" s="68"/>
    </row>
    <row r="196" spans="1:22" s="67" customFormat="1" ht="24.75" customHeight="1" x14ac:dyDescent="0.2">
      <c r="A196" s="76" t="s">
        <v>413</v>
      </c>
      <c r="B196" s="120" t="s">
        <v>84</v>
      </c>
      <c r="C196" s="279"/>
      <c r="D196" s="263"/>
      <c r="E196" s="264"/>
      <c r="F196" s="85"/>
      <c r="G196" s="96"/>
      <c r="H196" s="120" t="s">
        <v>84</v>
      </c>
      <c r="I196" s="279">
        <v>80000</v>
      </c>
      <c r="J196" s="263">
        <v>0.3</v>
      </c>
      <c r="K196" s="344">
        <f t="shared" ref="K196:K198" si="98">I196*J196</f>
        <v>24000</v>
      </c>
      <c r="L196" s="8" t="s">
        <v>84</v>
      </c>
      <c r="M196" s="11">
        <v>80000</v>
      </c>
      <c r="N196" s="10">
        <v>0.3</v>
      </c>
      <c r="O196" s="173">
        <f t="shared" ref="O196:O198" si="99">M196*N196</f>
        <v>24000</v>
      </c>
      <c r="P196" s="173"/>
      <c r="Q196" s="339"/>
      <c r="R196" s="340"/>
      <c r="S196" s="68"/>
      <c r="T196" s="68"/>
      <c r="U196" s="194"/>
      <c r="V196" s="68"/>
    </row>
    <row r="197" spans="1:22" s="67" customFormat="1" ht="24.75" customHeight="1" x14ac:dyDescent="0.2">
      <c r="A197" s="76" t="s">
        <v>414</v>
      </c>
      <c r="B197" s="120" t="s">
        <v>84</v>
      </c>
      <c r="C197" s="279"/>
      <c r="D197" s="263"/>
      <c r="E197" s="264"/>
      <c r="F197" s="85"/>
      <c r="G197" s="96"/>
      <c r="H197" s="120" t="s">
        <v>84</v>
      </c>
      <c r="I197" s="279">
        <v>40000</v>
      </c>
      <c r="J197" s="263">
        <v>0.3</v>
      </c>
      <c r="K197" s="344">
        <f t="shared" si="98"/>
        <v>12000</v>
      </c>
      <c r="L197" s="8" t="s">
        <v>84</v>
      </c>
      <c r="M197" s="11">
        <v>40000</v>
      </c>
      <c r="N197" s="10">
        <v>0.3</v>
      </c>
      <c r="O197" s="173">
        <f t="shared" si="99"/>
        <v>12000</v>
      </c>
      <c r="P197" s="173"/>
      <c r="Q197" s="339"/>
      <c r="R197" s="340"/>
      <c r="S197" s="68"/>
      <c r="T197" s="68"/>
      <c r="U197" s="194"/>
      <c r="V197" s="68"/>
    </row>
    <row r="198" spans="1:22" s="67" customFormat="1" ht="24.75" customHeight="1" x14ac:dyDescent="0.2">
      <c r="A198" s="76" t="s">
        <v>415</v>
      </c>
      <c r="B198" s="120" t="s">
        <v>84</v>
      </c>
      <c r="C198" s="279"/>
      <c r="D198" s="263"/>
      <c r="E198" s="264"/>
      <c r="F198" s="85"/>
      <c r="G198" s="96"/>
      <c r="H198" s="120" t="s">
        <v>84</v>
      </c>
      <c r="I198" s="279">
        <v>50000</v>
      </c>
      <c r="J198" s="263">
        <v>0.3</v>
      </c>
      <c r="K198" s="344">
        <f t="shared" si="98"/>
        <v>15000</v>
      </c>
      <c r="L198" s="8" t="s">
        <v>84</v>
      </c>
      <c r="M198" s="11">
        <v>50000</v>
      </c>
      <c r="N198" s="10">
        <v>0.3</v>
      </c>
      <c r="O198" s="173">
        <f t="shared" si="99"/>
        <v>15000</v>
      </c>
      <c r="P198" s="173"/>
      <c r="Q198" s="339"/>
      <c r="R198" s="340"/>
      <c r="S198" s="68"/>
      <c r="T198" s="68"/>
      <c r="U198" s="194"/>
      <c r="V198" s="68"/>
    </row>
    <row r="199" spans="1:22" s="67" customFormat="1" ht="24.75" customHeight="1" x14ac:dyDescent="0.2">
      <c r="A199" s="220" t="s">
        <v>195</v>
      </c>
      <c r="B199" s="280" t="s">
        <v>111</v>
      </c>
      <c r="C199" s="281">
        <v>10</v>
      </c>
      <c r="D199" s="282">
        <v>18000</v>
      </c>
      <c r="E199" s="283">
        <f t="shared" ref="E199" si="100">+C199*D199</f>
        <v>180000</v>
      </c>
      <c r="F199" s="224">
        <f>-E199+K200+K201+K202</f>
        <v>-100000</v>
      </c>
      <c r="G199" s="225">
        <f t="shared" ref="G199:G234" si="101">F199/E199</f>
        <v>-0.55555555555555558</v>
      </c>
      <c r="H199" s="280"/>
      <c r="I199" s="281"/>
      <c r="J199" s="282"/>
      <c r="K199" s="348"/>
      <c r="L199" s="221"/>
      <c r="M199" s="222"/>
      <c r="N199" s="223"/>
      <c r="O199" s="226"/>
      <c r="P199" s="226">
        <v>0</v>
      </c>
      <c r="Q199" s="339"/>
      <c r="R199" s="340"/>
      <c r="S199" s="68"/>
      <c r="T199" s="68"/>
      <c r="U199" s="194"/>
      <c r="V199" s="68"/>
    </row>
    <row r="200" spans="1:22" s="67" customFormat="1" ht="24.75" customHeight="1" x14ac:dyDescent="0.2">
      <c r="A200" s="76" t="s">
        <v>416</v>
      </c>
      <c r="B200" s="120" t="s">
        <v>111</v>
      </c>
      <c r="C200" s="279"/>
      <c r="D200" s="263"/>
      <c r="E200" s="264"/>
      <c r="F200" s="85"/>
      <c r="G200" s="96"/>
      <c r="H200" s="120" t="s">
        <v>111</v>
      </c>
      <c r="I200" s="279">
        <v>3</v>
      </c>
      <c r="J200" s="263">
        <v>8000</v>
      </c>
      <c r="K200" s="344">
        <f t="shared" ref="K200:K203" si="102">I200*J200</f>
        <v>24000</v>
      </c>
      <c r="L200" s="8" t="s">
        <v>111</v>
      </c>
      <c r="M200" s="11">
        <v>3</v>
      </c>
      <c r="N200" s="10">
        <v>8000</v>
      </c>
      <c r="O200" s="173">
        <f t="shared" ref="O200:O203" si="103">M200*N200</f>
        <v>24000</v>
      </c>
      <c r="P200" s="173"/>
      <c r="Q200" s="339"/>
      <c r="R200" s="340"/>
      <c r="S200" s="68"/>
      <c r="T200" s="68"/>
      <c r="U200" s="194"/>
      <c r="V200" s="68"/>
    </row>
    <row r="201" spans="1:22" s="67" customFormat="1" ht="24.75" customHeight="1" x14ac:dyDescent="0.2">
      <c r="A201" s="76" t="s">
        <v>417</v>
      </c>
      <c r="B201" s="120" t="s">
        <v>111</v>
      </c>
      <c r="C201" s="279"/>
      <c r="D201" s="263"/>
      <c r="E201" s="264"/>
      <c r="F201" s="85"/>
      <c r="G201" s="96"/>
      <c r="H201" s="120" t="s">
        <v>111</v>
      </c>
      <c r="I201" s="279">
        <v>4</v>
      </c>
      <c r="J201" s="263">
        <v>8000</v>
      </c>
      <c r="K201" s="344">
        <f t="shared" si="102"/>
        <v>32000</v>
      </c>
      <c r="L201" s="8" t="s">
        <v>111</v>
      </c>
      <c r="M201" s="11">
        <v>4</v>
      </c>
      <c r="N201" s="10">
        <v>8000</v>
      </c>
      <c r="O201" s="173">
        <f t="shared" si="103"/>
        <v>32000</v>
      </c>
      <c r="P201" s="173"/>
      <c r="Q201" s="339"/>
      <c r="R201" s="340"/>
      <c r="S201" s="68"/>
      <c r="T201" s="68"/>
      <c r="U201" s="194"/>
      <c r="V201" s="68"/>
    </row>
    <row r="202" spans="1:22" s="67" customFormat="1" ht="24.75" customHeight="1" x14ac:dyDescent="0.2">
      <c r="A202" s="76" t="s">
        <v>418</v>
      </c>
      <c r="B202" s="120" t="s">
        <v>111</v>
      </c>
      <c r="C202" s="279"/>
      <c r="D202" s="263"/>
      <c r="E202" s="264"/>
      <c r="F202" s="85"/>
      <c r="G202" s="96"/>
      <c r="H202" s="120" t="s">
        <v>111</v>
      </c>
      <c r="I202" s="279">
        <v>3</v>
      </c>
      <c r="J202" s="263">
        <v>8000</v>
      </c>
      <c r="K202" s="344">
        <f t="shared" si="102"/>
        <v>24000</v>
      </c>
      <c r="L202" s="8" t="s">
        <v>111</v>
      </c>
      <c r="M202" s="11">
        <v>3</v>
      </c>
      <c r="N202" s="10">
        <v>8000</v>
      </c>
      <c r="O202" s="173">
        <f t="shared" si="103"/>
        <v>24000</v>
      </c>
      <c r="P202" s="173"/>
      <c r="Q202" s="339"/>
      <c r="R202" s="340"/>
      <c r="S202" s="68"/>
      <c r="T202" s="68"/>
      <c r="U202" s="194"/>
      <c r="V202" s="68"/>
    </row>
    <row r="203" spans="1:22" s="67" customFormat="1" ht="24.75" customHeight="1" x14ac:dyDescent="0.2">
      <c r="A203" s="229" t="s">
        <v>112</v>
      </c>
      <c r="B203" s="280" t="s">
        <v>113</v>
      </c>
      <c r="C203" s="281">
        <v>4</v>
      </c>
      <c r="D203" s="282">
        <v>12500</v>
      </c>
      <c r="E203" s="283">
        <f t="shared" ref="E203" si="104">+C203*D203</f>
        <v>50000</v>
      </c>
      <c r="F203" s="224">
        <f>-E203+K203</f>
        <v>0</v>
      </c>
      <c r="G203" s="225">
        <f t="shared" si="101"/>
        <v>0</v>
      </c>
      <c r="H203" s="280" t="s">
        <v>113</v>
      </c>
      <c r="I203" s="281">
        <v>4</v>
      </c>
      <c r="J203" s="282">
        <v>12500</v>
      </c>
      <c r="K203" s="348">
        <f t="shared" si="102"/>
        <v>50000</v>
      </c>
      <c r="L203" s="221" t="s">
        <v>113</v>
      </c>
      <c r="M203" s="222">
        <v>4</v>
      </c>
      <c r="N203" s="223">
        <v>12500</v>
      </c>
      <c r="O203" s="226">
        <f t="shared" si="103"/>
        <v>50000</v>
      </c>
      <c r="P203" s="226">
        <v>0</v>
      </c>
      <c r="Q203" s="339"/>
      <c r="R203" s="340"/>
      <c r="S203" s="68"/>
      <c r="T203" s="68"/>
      <c r="U203" s="194"/>
      <c r="V203" s="68"/>
    </row>
    <row r="204" spans="1:22" s="67" customFormat="1" ht="24.75" customHeight="1" x14ac:dyDescent="0.2">
      <c r="A204" s="229" t="s">
        <v>114</v>
      </c>
      <c r="B204" s="280"/>
      <c r="C204" s="281"/>
      <c r="D204" s="282"/>
      <c r="E204" s="283"/>
      <c r="F204" s="224"/>
      <c r="G204" s="225"/>
      <c r="H204" s="280"/>
      <c r="I204" s="281"/>
      <c r="J204" s="282"/>
      <c r="K204" s="348"/>
      <c r="L204" s="221"/>
      <c r="M204" s="222"/>
      <c r="N204" s="223"/>
      <c r="O204" s="226"/>
      <c r="P204" s="226"/>
      <c r="Q204" s="339"/>
      <c r="R204" s="340"/>
      <c r="S204" s="68"/>
      <c r="T204" s="68"/>
      <c r="U204" s="194"/>
      <c r="V204" s="68"/>
    </row>
    <row r="205" spans="1:22" s="67" customFormat="1" ht="24.75" customHeight="1" x14ac:dyDescent="0.2">
      <c r="A205" s="125" t="s">
        <v>115</v>
      </c>
      <c r="B205" s="120" t="s">
        <v>116</v>
      </c>
      <c r="C205" s="279">
        <v>48</v>
      </c>
      <c r="D205" s="263">
        <v>400</v>
      </c>
      <c r="E205" s="264">
        <f t="shared" ref="E205" si="105">+C205*D205</f>
        <v>19200</v>
      </c>
      <c r="F205" s="85">
        <f>-E205+K205</f>
        <v>-5125</v>
      </c>
      <c r="G205" s="96">
        <f t="shared" si="101"/>
        <v>-0.26692708333333331</v>
      </c>
      <c r="H205" s="120" t="s">
        <v>116</v>
      </c>
      <c r="I205" s="116">
        <f>K205/J205</f>
        <v>35.1875</v>
      </c>
      <c r="J205" s="263">
        <v>400</v>
      </c>
      <c r="K205" s="344">
        <f>O205+P205</f>
        <v>14075</v>
      </c>
      <c r="L205" s="8" t="s">
        <v>116</v>
      </c>
      <c r="M205" s="9">
        <v>35</v>
      </c>
      <c r="N205" s="10">
        <v>400</v>
      </c>
      <c r="O205" s="173">
        <f t="shared" ref="O205" si="106">M205*N205</f>
        <v>14000</v>
      </c>
      <c r="P205" s="174">
        <v>75</v>
      </c>
      <c r="Q205" s="339"/>
      <c r="R205" s="340"/>
      <c r="S205" s="68"/>
      <c r="T205" s="68"/>
      <c r="U205" s="194"/>
      <c r="V205" s="68"/>
    </row>
    <row r="206" spans="1:22" s="67" customFormat="1" ht="24.75" customHeight="1" x14ac:dyDescent="0.2">
      <c r="A206" s="229" t="s">
        <v>136</v>
      </c>
      <c r="B206" s="280"/>
      <c r="C206" s="281"/>
      <c r="D206" s="282"/>
      <c r="E206" s="283"/>
      <c r="F206" s="224"/>
      <c r="G206" s="225"/>
      <c r="H206" s="280"/>
      <c r="I206" s="281"/>
      <c r="J206" s="282"/>
      <c r="K206" s="348"/>
      <c r="L206" s="221"/>
      <c r="M206" s="222"/>
      <c r="N206" s="223"/>
      <c r="O206" s="226"/>
      <c r="P206" s="226"/>
      <c r="Q206" s="339"/>
      <c r="R206" s="340"/>
      <c r="S206" s="68"/>
      <c r="T206" s="68"/>
      <c r="U206" s="194"/>
      <c r="V206" s="68"/>
    </row>
    <row r="207" spans="1:22" s="67" customFormat="1" ht="24.75" customHeight="1" x14ac:dyDescent="0.2">
      <c r="A207" s="125" t="s">
        <v>117</v>
      </c>
      <c r="B207" s="120" t="s">
        <v>118</v>
      </c>
      <c r="C207" s="279">
        <v>25</v>
      </c>
      <c r="D207" s="263">
        <v>1000</v>
      </c>
      <c r="E207" s="264">
        <f t="shared" ref="E207:E209" si="107">+C207*D207</f>
        <v>25000</v>
      </c>
      <c r="F207" s="85">
        <f>-E207+K207</f>
        <v>-2421.1749444039888</v>
      </c>
      <c r="G207" s="96">
        <f t="shared" si="101"/>
        <v>-9.6846997776159557E-2</v>
      </c>
      <c r="H207" s="120" t="s">
        <v>118</v>
      </c>
      <c r="I207" s="116">
        <f>K207/J207</f>
        <v>26.760088954780457</v>
      </c>
      <c r="J207" s="10">
        <v>843.75</v>
      </c>
      <c r="K207" s="344">
        <f>O207+P207</f>
        <v>22578.825055596011</v>
      </c>
      <c r="L207" s="8" t="s">
        <v>118</v>
      </c>
      <c r="M207" s="9">
        <v>24</v>
      </c>
      <c r="N207" s="10">
        <v>843.75</v>
      </c>
      <c r="O207" s="173">
        <f>M207*N207</f>
        <v>20250</v>
      </c>
      <c r="P207" s="174">
        <v>2328.825055596013</v>
      </c>
      <c r="Q207" s="339"/>
      <c r="R207" s="340"/>
      <c r="S207" s="68"/>
      <c r="T207" s="68"/>
      <c r="U207" s="194"/>
      <c r="V207" s="68"/>
    </row>
    <row r="208" spans="1:22" s="67" customFormat="1" ht="24.75" customHeight="1" x14ac:dyDescent="0.2">
      <c r="A208" s="125" t="s">
        <v>119</v>
      </c>
      <c r="B208" s="120" t="s">
        <v>120</v>
      </c>
      <c r="C208" s="279">
        <v>48</v>
      </c>
      <c r="D208" s="263">
        <v>300</v>
      </c>
      <c r="E208" s="264">
        <f t="shared" si="107"/>
        <v>14400</v>
      </c>
      <c r="F208" s="85">
        <f>-E208+K208</f>
        <v>-3900</v>
      </c>
      <c r="G208" s="96">
        <f t="shared" si="101"/>
        <v>-0.27083333333333331</v>
      </c>
      <c r="H208" s="120" t="s">
        <v>120</v>
      </c>
      <c r="I208" s="116">
        <f>K208/J208</f>
        <v>35</v>
      </c>
      <c r="J208" s="263">
        <v>300</v>
      </c>
      <c r="K208" s="344">
        <f>O208+P208</f>
        <v>10500</v>
      </c>
      <c r="L208" s="8" t="s">
        <v>120</v>
      </c>
      <c r="M208" s="9">
        <v>35</v>
      </c>
      <c r="N208" s="10">
        <v>300</v>
      </c>
      <c r="O208" s="173">
        <f t="shared" ref="O208" si="108">M208*N208</f>
        <v>10500</v>
      </c>
      <c r="P208" s="174">
        <v>0</v>
      </c>
      <c r="Q208" s="339"/>
      <c r="R208" s="340"/>
      <c r="S208" s="68"/>
      <c r="T208" s="68"/>
      <c r="U208" s="194"/>
      <c r="V208" s="68"/>
    </row>
    <row r="209" spans="1:22" s="67" customFormat="1" ht="24.75" customHeight="1" x14ac:dyDescent="0.2">
      <c r="A209" s="220" t="s">
        <v>121</v>
      </c>
      <c r="B209" s="280" t="s">
        <v>15</v>
      </c>
      <c r="C209" s="281">
        <v>200</v>
      </c>
      <c r="D209" s="282">
        <v>450</v>
      </c>
      <c r="E209" s="283">
        <f t="shared" si="107"/>
        <v>90000</v>
      </c>
      <c r="F209" s="224">
        <f>-E209+K213+K212+K211+K215+K214+K219+K218+K217+K221+K220+K225+K224+K223+K227+K226</f>
        <v>173589.14285714284</v>
      </c>
      <c r="G209" s="225">
        <f t="shared" si="101"/>
        <v>1.9287682539682538</v>
      </c>
      <c r="H209" s="280"/>
      <c r="I209" s="281"/>
      <c r="J209" s="282"/>
      <c r="K209" s="348"/>
      <c r="L209" s="221"/>
      <c r="M209" s="222"/>
      <c r="N209" s="223"/>
      <c r="O209" s="226"/>
      <c r="P209" s="227">
        <v>23543.16</v>
      </c>
      <c r="Q209" s="339"/>
      <c r="R209" s="340"/>
      <c r="S209" s="68"/>
      <c r="T209" s="68"/>
      <c r="U209" s="194"/>
      <c r="V209" s="68"/>
    </row>
    <row r="210" spans="1:22" s="67" customFormat="1" ht="24.75" customHeight="1" x14ac:dyDescent="0.2">
      <c r="A210" s="76" t="s">
        <v>184</v>
      </c>
      <c r="B210" s="120"/>
      <c r="C210" s="279"/>
      <c r="D210" s="263"/>
      <c r="E210" s="264"/>
      <c r="F210" s="85"/>
      <c r="G210" s="96"/>
      <c r="H210" s="120"/>
      <c r="I210" s="116"/>
      <c r="J210" s="263"/>
      <c r="K210" s="344"/>
      <c r="L210" s="8"/>
      <c r="M210" s="9"/>
      <c r="N210" s="10"/>
      <c r="O210" s="173"/>
      <c r="P210" s="173"/>
      <c r="Q210" s="339"/>
      <c r="R210" s="340"/>
      <c r="S210" s="68"/>
      <c r="T210" s="68"/>
      <c r="U210" s="194"/>
      <c r="V210" s="68"/>
    </row>
    <row r="211" spans="1:22" s="67" customFormat="1" ht="24.75" customHeight="1" x14ac:dyDescent="0.2">
      <c r="A211" s="125" t="s">
        <v>185</v>
      </c>
      <c r="B211" s="115" t="s">
        <v>191</v>
      </c>
      <c r="C211" s="279"/>
      <c r="D211" s="263"/>
      <c r="E211" s="264"/>
      <c r="F211" s="85"/>
      <c r="G211" s="96"/>
      <c r="H211" s="120" t="s">
        <v>191</v>
      </c>
      <c r="I211" s="116">
        <v>9</v>
      </c>
      <c r="J211" s="263">
        <v>350</v>
      </c>
      <c r="K211" s="344">
        <f t="shared" ref="K211" si="109">I211*J211</f>
        <v>3150</v>
      </c>
      <c r="L211" s="8" t="s">
        <v>191</v>
      </c>
      <c r="M211" s="9">
        <v>9</v>
      </c>
      <c r="N211" s="10">
        <v>350</v>
      </c>
      <c r="O211" s="173">
        <f t="shared" ref="O211" si="110">M211*N211</f>
        <v>3150</v>
      </c>
      <c r="P211" s="173"/>
      <c r="Q211" s="339"/>
      <c r="R211" s="340"/>
      <c r="S211" s="68"/>
      <c r="T211" s="68"/>
      <c r="U211" s="194"/>
      <c r="V211" s="68"/>
    </row>
    <row r="212" spans="1:22" s="67" customFormat="1" ht="24.75" customHeight="1" x14ac:dyDescent="0.2">
      <c r="A212" s="125" t="s">
        <v>421</v>
      </c>
      <c r="B212" s="115" t="s">
        <v>66</v>
      </c>
      <c r="C212" s="279"/>
      <c r="D212" s="263"/>
      <c r="E212" s="264"/>
      <c r="F212" s="85"/>
      <c r="G212" s="96"/>
      <c r="H212" s="120" t="s">
        <v>66</v>
      </c>
      <c r="I212" s="116">
        <v>90</v>
      </c>
      <c r="J212" s="263">
        <v>220</v>
      </c>
      <c r="K212" s="344">
        <f>I212*J212</f>
        <v>19800</v>
      </c>
      <c r="L212" s="8" t="s">
        <v>66</v>
      </c>
      <c r="M212" s="9">
        <v>90</v>
      </c>
      <c r="N212" s="10">
        <v>220</v>
      </c>
      <c r="O212" s="173">
        <f>M212*N212</f>
        <v>19800</v>
      </c>
      <c r="P212" s="173"/>
      <c r="Q212" s="339"/>
      <c r="R212" s="340"/>
      <c r="S212" s="68"/>
      <c r="T212" s="68"/>
      <c r="U212" s="194"/>
      <c r="V212" s="68"/>
    </row>
    <row r="213" spans="1:22" s="67" customFormat="1" ht="24.75" customHeight="1" x14ac:dyDescent="0.2">
      <c r="A213" s="125" t="s">
        <v>422</v>
      </c>
      <c r="B213" s="115" t="s">
        <v>68</v>
      </c>
      <c r="C213" s="279"/>
      <c r="D213" s="263"/>
      <c r="E213" s="264"/>
      <c r="F213" s="85"/>
      <c r="G213" s="96"/>
      <c r="H213" s="120" t="s">
        <v>68</v>
      </c>
      <c r="I213" s="116">
        <v>142</v>
      </c>
      <c r="J213" s="263">
        <v>300</v>
      </c>
      <c r="K213" s="344">
        <f>I213*J213</f>
        <v>42600</v>
      </c>
      <c r="L213" s="8" t="s">
        <v>68</v>
      </c>
      <c r="M213" s="9">
        <v>134</v>
      </c>
      <c r="N213" s="10">
        <v>300</v>
      </c>
      <c r="O213" s="173">
        <f t="shared" ref="O213:O215" si="111">M213*N213</f>
        <v>40200</v>
      </c>
      <c r="P213" s="192">
        <v>2377.16</v>
      </c>
      <c r="Q213" s="339"/>
      <c r="R213" s="340"/>
      <c r="S213" s="68"/>
      <c r="T213" s="68"/>
      <c r="U213" s="194"/>
      <c r="V213" s="68"/>
    </row>
    <row r="214" spans="1:22" s="67" customFormat="1" ht="24.75" customHeight="1" x14ac:dyDescent="0.2">
      <c r="A214" s="125" t="s">
        <v>419</v>
      </c>
      <c r="B214" s="115" t="s">
        <v>191</v>
      </c>
      <c r="C214" s="279"/>
      <c r="D214" s="263"/>
      <c r="E214" s="264"/>
      <c r="F214" s="85"/>
      <c r="G214" s="96"/>
      <c r="H214" s="120" t="s">
        <v>191</v>
      </c>
      <c r="I214" s="116">
        <v>6</v>
      </c>
      <c r="J214" s="263">
        <v>1300</v>
      </c>
      <c r="K214" s="344">
        <f>I214*J214</f>
        <v>7800</v>
      </c>
      <c r="L214" s="8" t="s">
        <v>191</v>
      </c>
      <c r="M214" s="9">
        <v>6</v>
      </c>
      <c r="N214" s="10">
        <v>1300</v>
      </c>
      <c r="O214" s="173">
        <f>M214*N214</f>
        <v>7800</v>
      </c>
      <c r="P214" s="173"/>
      <c r="Q214" s="339"/>
      <c r="R214" s="340"/>
      <c r="S214" s="68"/>
      <c r="T214" s="68"/>
      <c r="U214" s="194"/>
      <c r="V214" s="68"/>
    </row>
    <row r="215" spans="1:22" s="67" customFormat="1" ht="24.75" customHeight="1" x14ac:dyDescent="0.2">
      <c r="A215" s="125" t="s">
        <v>420</v>
      </c>
      <c r="B215" s="115" t="s">
        <v>66</v>
      </c>
      <c r="C215" s="279"/>
      <c r="D215" s="263"/>
      <c r="E215" s="264"/>
      <c r="F215" s="85"/>
      <c r="G215" s="96"/>
      <c r="H215" s="120" t="s">
        <v>66</v>
      </c>
      <c r="I215" s="116">
        <v>66</v>
      </c>
      <c r="J215" s="263">
        <v>238</v>
      </c>
      <c r="K215" s="344">
        <f t="shared" ref="K215" si="112">I215*J215</f>
        <v>15708</v>
      </c>
      <c r="L215" s="8" t="s">
        <v>66</v>
      </c>
      <c r="M215" s="9">
        <v>66</v>
      </c>
      <c r="N215" s="10">
        <v>238</v>
      </c>
      <c r="O215" s="173">
        <f t="shared" si="111"/>
        <v>15708</v>
      </c>
      <c r="P215" s="173"/>
      <c r="Q215" s="339"/>
      <c r="R215" s="340"/>
      <c r="S215" s="68"/>
      <c r="T215" s="68"/>
      <c r="U215" s="194"/>
      <c r="V215" s="68"/>
    </row>
    <row r="216" spans="1:22" s="67" customFormat="1" ht="24.75" customHeight="1" x14ac:dyDescent="0.2">
      <c r="A216" s="76" t="s">
        <v>423</v>
      </c>
      <c r="B216" s="115"/>
      <c r="C216" s="279"/>
      <c r="D216" s="263"/>
      <c r="E216" s="264"/>
      <c r="F216" s="85"/>
      <c r="G216" s="96"/>
      <c r="H216" s="120"/>
      <c r="I216" s="116"/>
      <c r="J216" s="263"/>
      <c r="K216" s="344"/>
      <c r="L216" s="8"/>
      <c r="M216" s="9"/>
      <c r="N216" s="10"/>
      <c r="O216" s="173"/>
      <c r="P216" s="173"/>
      <c r="Q216" s="339"/>
      <c r="R216" s="340"/>
      <c r="S216" s="68"/>
      <c r="T216" s="68"/>
      <c r="U216" s="194"/>
      <c r="V216" s="68"/>
    </row>
    <row r="217" spans="1:22" s="67" customFormat="1" ht="24.75" customHeight="1" x14ac:dyDescent="0.2">
      <c r="A217" s="125" t="s">
        <v>424</v>
      </c>
      <c r="B217" s="115" t="s">
        <v>191</v>
      </c>
      <c r="C217" s="279"/>
      <c r="D217" s="263"/>
      <c r="E217" s="264"/>
      <c r="F217" s="85"/>
      <c r="G217" s="96"/>
      <c r="H217" s="120" t="s">
        <v>191</v>
      </c>
      <c r="I217" s="116">
        <v>6</v>
      </c>
      <c r="J217" s="263">
        <v>350</v>
      </c>
      <c r="K217" s="344">
        <f>I217*J217</f>
        <v>2100</v>
      </c>
      <c r="L217" s="8" t="s">
        <v>191</v>
      </c>
      <c r="M217" s="11">
        <v>6</v>
      </c>
      <c r="N217" s="10">
        <v>350</v>
      </c>
      <c r="O217" s="173">
        <f>M217*N217</f>
        <v>2100</v>
      </c>
      <c r="P217" s="173"/>
      <c r="Q217" s="339"/>
      <c r="R217" s="340"/>
      <c r="S217" s="68"/>
      <c r="T217" s="68"/>
      <c r="U217" s="194"/>
      <c r="V217" s="68"/>
    </row>
    <row r="218" spans="1:22" s="67" customFormat="1" ht="24.75" customHeight="1" x14ac:dyDescent="0.2">
      <c r="A218" s="125" t="s">
        <v>425</v>
      </c>
      <c r="B218" s="115" t="s">
        <v>66</v>
      </c>
      <c r="C218" s="279"/>
      <c r="D218" s="263"/>
      <c r="E218" s="264"/>
      <c r="F218" s="85"/>
      <c r="G218" s="96"/>
      <c r="H218" s="120" t="s">
        <v>66</v>
      </c>
      <c r="I218" s="116">
        <v>42</v>
      </c>
      <c r="J218" s="263">
        <v>220</v>
      </c>
      <c r="K218" s="344">
        <f>I218*J218</f>
        <v>9240</v>
      </c>
      <c r="L218" s="8" t="s">
        <v>66</v>
      </c>
      <c r="M218" s="11">
        <v>42</v>
      </c>
      <c r="N218" s="10">
        <v>220</v>
      </c>
      <c r="O218" s="173">
        <f>M218*N218</f>
        <v>9240</v>
      </c>
      <c r="P218" s="173"/>
      <c r="Q218" s="339"/>
      <c r="R218" s="340"/>
      <c r="S218" s="68"/>
      <c r="T218" s="68"/>
      <c r="U218" s="194"/>
      <c r="V218" s="68"/>
    </row>
    <row r="219" spans="1:22" s="67" customFormat="1" ht="24.75" customHeight="1" x14ac:dyDescent="0.2">
      <c r="A219" s="125" t="s">
        <v>426</v>
      </c>
      <c r="B219" s="115" t="s">
        <v>68</v>
      </c>
      <c r="C219" s="279"/>
      <c r="D219" s="263"/>
      <c r="E219" s="264"/>
      <c r="F219" s="85"/>
      <c r="G219" s="96"/>
      <c r="H219" s="120" t="s">
        <v>68</v>
      </c>
      <c r="I219" s="116">
        <f>K219/J219</f>
        <v>151.07142857142856</v>
      </c>
      <c r="J219" s="263">
        <v>300</v>
      </c>
      <c r="K219" s="344">
        <f>O219+P219</f>
        <v>45321.428571428565</v>
      </c>
      <c r="L219" s="8" t="s">
        <v>68</v>
      </c>
      <c r="M219" s="9">
        <v>128.57142857142856</v>
      </c>
      <c r="N219" s="10">
        <v>300</v>
      </c>
      <c r="O219" s="173">
        <f>M219*N219</f>
        <v>38571.428571428565</v>
      </c>
      <c r="P219" s="192">
        <f>2250+4500</f>
        <v>6750</v>
      </c>
      <c r="Q219" s="339"/>
      <c r="R219" s="340"/>
      <c r="S219" s="340"/>
      <c r="T219" s="68"/>
      <c r="U219" s="194"/>
      <c r="V219" s="68"/>
    </row>
    <row r="220" spans="1:22" s="67" customFormat="1" ht="24.75" customHeight="1" x14ac:dyDescent="0.2">
      <c r="A220" s="125" t="s">
        <v>427</v>
      </c>
      <c r="B220" s="115" t="s">
        <v>191</v>
      </c>
      <c r="C220" s="279"/>
      <c r="D220" s="263"/>
      <c r="E220" s="264"/>
      <c r="F220" s="85"/>
      <c r="G220" s="96"/>
      <c r="H220" s="120" t="s">
        <v>191</v>
      </c>
      <c r="I220" s="116">
        <f>K220/J220</f>
        <v>9.923076923076918</v>
      </c>
      <c r="J220" s="263">
        <v>1300</v>
      </c>
      <c r="K220" s="344">
        <f>O220+P220</f>
        <v>12899.999999999995</v>
      </c>
      <c r="L220" s="8" t="s">
        <v>191</v>
      </c>
      <c r="M220" s="11">
        <v>8.9999999999999964</v>
      </c>
      <c r="N220" s="10">
        <v>1300</v>
      </c>
      <c r="O220" s="173">
        <f>M220*N220</f>
        <v>11699.999999999995</v>
      </c>
      <c r="P220" s="192">
        <v>1200</v>
      </c>
      <c r="Q220" s="339"/>
      <c r="R220" s="340"/>
      <c r="S220" s="68"/>
      <c r="T220" s="68"/>
      <c r="U220" s="194"/>
      <c r="V220" s="68"/>
    </row>
    <row r="221" spans="1:22" s="67" customFormat="1" ht="24.75" customHeight="1" x14ac:dyDescent="0.2">
      <c r="A221" s="125" t="s">
        <v>428</v>
      </c>
      <c r="B221" s="115" t="s">
        <v>66</v>
      </c>
      <c r="C221" s="279"/>
      <c r="D221" s="263"/>
      <c r="E221" s="264"/>
      <c r="F221" s="85"/>
      <c r="G221" s="96"/>
      <c r="H221" s="120" t="s">
        <v>66</v>
      </c>
      <c r="I221" s="116">
        <f>K221/J221</f>
        <v>108</v>
      </c>
      <c r="J221" s="263">
        <v>238</v>
      </c>
      <c r="K221" s="344">
        <f>O221+P221</f>
        <v>25704</v>
      </c>
      <c r="L221" s="8" t="s">
        <v>66</v>
      </c>
      <c r="M221" s="11">
        <v>90.100840336134453</v>
      </c>
      <c r="N221" s="10">
        <v>238</v>
      </c>
      <c r="O221" s="173">
        <f t="shared" ref="O221" si="113">M221*N221</f>
        <v>21444</v>
      </c>
      <c r="P221" s="333">
        <v>4260</v>
      </c>
      <c r="Q221" s="339"/>
      <c r="R221" s="340"/>
      <c r="S221" s="68"/>
      <c r="T221" s="68"/>
      <c r="U221" s="194"/>
      <c r="V221" s="68"/>
    </row>
    <row r="222" spans="1:22" s="67" customFormat="1" ht="24.75" customHeight="1" x14ac:dyDescent="0.2">
      <c r="A222" s="76" t="s">
        <v>429</v>
      </c>
      <c r="B222" s="115"/>
      <c r="C222" s="279"/>
      <c r="D222" s="263"/>
      <c r="E222" s="264"/>
      <c r="F222" s="85"/>
      <c r="G222" s="96"/>
      <c r="H222" s="120"/>
      <c r="I222" s="116"/>
      <c r="J222" s="263"/>
      <c r="K222" s="344"/>
      <c r="L222" s="8"/>
      <c r="M222" s="11"/>
      <c r="N222" s="10"/>
      <c r="O222" s="173"/>
      <c r="P222" s="173"/>
      <c r="Q222" s="339"/>
      <c r="R222" s="340"/>
      <c r="S222" s="68"/>
      <c r="T222" s="68"/>
      <c r="U222" s="194"/>
      <c r="V222" s="68"/>
    </row>
    <row r="223" spans="1:22" s="67" customFormat="1" ht="24.75" customHeight="1" x14ac:dyDescent="0.2">
      <c r="A223" s="125" t="s">
        <v>186</v>
      </c>
      <c r="B223" s="115" t="s">
        <v>191</v>
      </c>
      <c r="C223" s="279"/>
      <c r="D223" s="263"/>
      <c r="E223" s="264"/>
      <c r="F223" s="85"/>
      <c r="G223" s="96"/>
      <c r="H223" s="120" t="s">
        <v>191</v>
      </c>
      <c r="I223" s="116">
        <v>9</v>
      </c>
      <c r="J223" s="263">
        <v>350</v>
      </c>
      <c r="K223" s="344">
        <f>I223*J223</f>
        <v>3150</v>
      </c>
      <c r="L223" s="8" t="s">
        <v>191</v>
      </c>
      <c r="M223" s="11">
        <v>9</v>
      </c>
      <c r="N223" s="10">
        <v>350</v>
      </c>
      <c r="O223" s="173">
        <f>M223*N223</f>
        <v>3150</v>
      </c>
      <c r="P223" s="173"/>
      <c r="Q223" s="339"/>
      <c r="R223" s="340"/>
      <c r="S223" s="68"/>
      <c r="T223" s="68"/>
      <c r="U223" s="194"/>
      <c r="V223" s="68"/>
    </row>
    <row r="224" spans="1:22" s="67" customFormat="1" ht="24.75" customHeight="1" x14ac:dyDescent="0.2">
      <c r="A224" s="125" t="s">
        <v>430</v>
      </c>
      <c r="B224" s="115" t="s">
        <v>66</v>
      </c>
      <c r="C224" s="279"/>
      <c r="D224" s="263"/>
      <c r="E224" s="264"/>
      <c r="F224" s="85"/>
      <c r="G224" s="96"/>
      <c r="H224" s="120" t="s">
        <v>66</v>
      </c>
      <c r="I224" s="116">
        <v>67.5</v>
      </c>
      <c r="J224" s="263">
        <v>220</v>
      </c>
      <c r="K224" s="344">
        <f>I224*J224</f>
        <v>14850</v>
      </c>
      <c r="L224" s="8" t="s">
        <v>66</v>
      </c>
      <c r="M224" s="11">
        <v>67.5</v>
      </c>
      <c r="N224" s="10">
        <v>220</v>
      </c>
      <c r="O224" s="173">
        <f>M224*N224</f>
        <v>14850</v>
      </c>
      <c r="P224" s="173"/>
      <c r="Q224" s="339"/>
      <c r="R224" s="340"/>
      <c r="S224" s="68"/>
      <c r="T224" s="68"/>
      <c r="U224" s="194"/>
      <c r="V224" s="68"/>
    </row>
    <row r="225" spans="1:22" s="67" customFormat="1" ht="24.75" customHeight="1" x14ac:dyDescent="0.2">
      <c r="A225" s="125" t="s">
        <v>431</v>
      </c>
      <c r="B225" s="115" t="s">
        <v>68</v>
      </c>
      <c r="C225" s="279"/>
      <c r="D225" s="263"/>
      <c r="E225" s="264"/>
      <c r="F225" s="85"/>
      <c r="G225" s="96"/>
      <c r="H225" s="120" t="s">
        <v>68</v>
      </c>
      <c r="I225" s="116">
        <f>K225/J225</f>
        <v>126.61904761904761</v>
      </c>
      <c r="J225" s="263">
        <v>300</v>
      </c>
      <c r="K225" s="344">
        <f>O225+P225</f>
        <v>37985.714285714283</v>
      </c>
      <c r="L225" s="8" t="s">
        <v>68</v>
      </c>
      <c r="M225" s="9">
        <v>109.28571428571428</v>
      </c>
      <c r="N225" s="10">
        <v>300</v>
      </c>
      <c r="O225" s="173">
        <f t="shared" ref="O225:O227" si="114">M225*N225</f>
        <v>32785.714285714283</v>
      </c>
      <c r="P225" s="192">
        <f>2500+2700</f>
        <v>5200</v>
      </c>
      <c r="Q225" s="339"/>
      <c r="R225" s="340"/>
      <c r="S225" s="68"/>
      <c r="T225" s="68"/>
      <c r="U225" s="194"/>
      <c r="V225" s="68"/>
    </row>
    <row r="226" spans="1:22" s="67" customFormat="1" ht="24.75" customHeight="1" x14ac:dyDescent="0.2">
      <c r="A226" s="125" t="s">
        <v>432</v>
      </c>
      <c r="B226" s="115" t="s">
        <v>191</v>
      </c>
      <c r="C226" s="279"/>
      <c r="D226" s="263"/>
      <c r="E226" s="264"/>
      <c r="F226" s="85"/>
      <c r="G226" s="96"/>
      <c r="H226" s="120" t="s">
        <v>191</v>
      </c>
      <c r="I226" s="116">
        <f>K226/J226</f>
        <v>6.9230769230769234</v>
      </c>
      <c r="J226" s="263">
        <v>1300</v>
      </c>
      <c r="K226" s="344">
        <f>O226+P226</f>
        <v>9000</v>
      </c>
      <c r="L226" s="8" t="s">
        <v>191</v>
      </c>
      <c r="M226" s="11">
        <v>6</v>
      </c>
      <c r="N226" s="10">
        <v>1300</v>
      </c>
      <c r="O226" s="173">
        <f>M226*N226</f>
        <v>7800</v>
      </c>
      <c r="P226" s="192">
        <v>1200</v>
      </c>
      <c r="Q226" s="339"/>
      <c r="R226" s="340"/>
      <c r="S226" s="68"/>
      <c r="T226" s="68"/>
      <c r="U226" s="194"/>
      <c r="V226" s="68"/>
    </row>
    <row r="227" spans="1:22" s="67" customFormat="1" ht="24.75" customHeight="1" x14ac:dyDescent="0.2">
      <c r="A227" s="125" t="s">
        <v>433</v>
      </c>
      <c r="B227" s="115" t="s">
        <v>66</v>
      </c>
      <c r="C227" s="279"/>
      <c r="D227" s="263"/>
      <c r="E227" s="264"/>
      <c r="F227" s="85"/>
      <c r="G227" s="96"/>
      <c r="H227" s="120" t="s">
        <v>66</v>
      </c>
      <c r="I227" s="116">
        <f>K227/J227</f>
        <v>60</v>
      </c>
      <c r="J227" s="263">
        <v>238</v>
      </c>
      <c r="K227" s="344">
        <f>O227+P227</f>
        <v>14280</v>
      </c>
      <c r="L227" s="8" t="s">
        <v>66</v>
      </c>
      <c r="M227" s="11">
        <v>49.260504201680675</v>
      </c>
      <c r="N227" s="10">
        <v>238</v>
      </c>
      <c r="O227" s="173">
        <f t="shared" si="114"/>
        <v>11724</v>
      </c>
      <c r="P227" s="192">
        <v>2556</v>
      </c>
      <c r="Q227" s="339"/>
      <c r="R227" s="340"/>
      <c r="S227" s="68"/>
      <c r="T227" s="68"/>
      <c r="U227" s="194"/>
      <c r="V227" s="68"/>
    </row>
    <row r="228" spans="1:22" s="67" customFormat="1" ht="24.75" customHeight="1" x14ac:dyDescent="0.2">
      <c r="A228" s="220" t="s">
        <v>440</v>
      </c>
      <c r="B228" s="280" t="s">
        <v>122</v>
      </c>
      <c r="C228" s="281">
        <v>30</v>
      </c>
      <c r="D228" s="282">
        <v>4500</v>
      </c>
      <c r="E228" s="283">
        <f>+C228*D228</f>
        <v>135000</v>
      </c>
      <c r="F228" s="224">
        <f>-E228+K229+K230+K231</f>
        <v>-31500</v>
      </c>
      <c r="G228" s="225">
        <f>F228/E228</f>
        <v>-0.23333333333333334</v>
      </c>
      <c r="H228" s="280"/>
      <c r="I228" s="281"/>
      <c r="J228" s="282"/>
      <c r="K228" s="348"/>
      <c r="L228" s="221"/>
      <c r="M228" s="222"/>
      <c r="N228" s="223"/>
      <c r="O228" s="226"/>
      <c r="P228" s="226">
        <v>0</v>
      </c>
      <c r="Q228" s="339"/>
      <c r="R228" s="340"/>
      <c r="S228" s="68"/>
      <c r="T228" s="68"/>
      <c r="U228" s="194"/>
      <c r="V228" s="68"/>
    </row>
    <row r="229" spans="1:22" s="67" customFormat="1" ht="24.75" customHeight="1" x14ac:dyDescent="0.2">
      <c r="A229" s="73" t="s">
        <v>437</v>
      </c>
      <c r="B229" s="120" t="s">
        <v>122</v>
      </c>
      <c r="C229" s="116"/>
      <c r="D229" s="263"/>
      <c r="E229" s="264"/>
      <c r="F229" s="85"/>
      <c r="G229" s="96"/>
      <c r="H229" s="120" t="s">
        <v>122</v>
      </c>
      <c r="I229" s="116">
        <f t="shared" ref="I229:I231" si="115">K229/J229</f>
        <v>22.5</v>
      </c>
      <c r="J229" s="263">
        <v>2000</v>
      </c>
      <c r="K229" s="344">
        <f>O229+P229</f>
        <v>45000</v>
      </c>
      <c r="L229" s="8" t="s">
        <v>122</v>
      </c>
      <c r="M229" s="9">
        <v>22.5</v>
      </c>
      <c r="N229" s="10">
        <v>2000</v>
      </c>
      <c r="O229" s="173">
        <f t="shared" ref="O229:O231" si="116">M229*N229</f>
        <v>45000</v>
      </c>
      <c r="P229" s="173"/>
      <c r="Q229" s="339"/>
      <c r="R229" s="340"/>
      <c r="S229" s="68"/>
      <c r="T229" s="68"/>
      <c r="U229" s="194"/>
      <c r="V229" s="68"/>
    </row>
    <row r="230" spans="1:22" s="67" customFormat="1" ht="24.75" customHeight="1" x14ac:dyDescent="0.2">
      <c r="A230" s="73" t="s">
        <v>438</v>
      </c>
      <c r="B230" s="120" t="s">
        <v>122</v>
      </c>
      <c r="C230" s="116"/>
      <c r="D230" s="263"/>
      <c r="E230" s="264"/>
      <c r="F230" s="85"/>
      <c r="G230" s="96"/>
      <c r="H230" s="120" t="s">
        <v>122</v>
      </c>
      <c r="I230" s="116">
        <f t="shared" si="115"/>
        <v>11.75</v>
      </c>
      <c r="J230" s="263">
        <v>2000</v>
      </c>
      <c r="K230" s="344">
        <f>O230+P230</f>
        <v>23500</v>
      </c>
      <c r="L230" s="8" t="s">
        <v>122</v>
      </c>
      <c r="M230" s="9">
        <v>11.75</v>
      </c>
      <c r="N230" s="10">
        <v>2000</v>
      </c>
      <c r="O230" s="173">
        <f t="shared" si="116"/>
        <v>23500</v>
      </c>
      <c r="P230" s="173"/>
      <c r="Q230" s="339"/>
      <c r="R230" s="340"/>
      <c r="S230" s="68"/>
      <c r="T230" s="68"/>
      <c r="U230" s="194"/>
      <c r="V230" s="68"/>
    </row>
    <row r="231" spans="1:22" s="67" customFormat="1" ht="24.75" customHeight="1" x14ac:dyDescent="0.2">
      <c r="A231" s="73" t="s">
        <v>439</v>
      </c>
      <c r="B231" s="120" t="s">
        <v>122</v>
      </c>
      <c r="C231" s="116"/>
      <c r="D231" s="263"/>
      <c r="E231" s="264"/>
      <c r="F231" s="85"/>
      <c r="G231" s="96"/>
      <c r="H231" s="120" t="s">
        <v>122</v>
      </c>
      <c r="I231" s="116">
        <f t="shared" si="115"/>
        <v>17.5</v>
      </c>
      <c r="J231" s="263">
        <v>2000</v>
      </c>
      <c r="K231" s="344">
        <f>O231+P231</f>
        <v>35000</v>
      </c>
      <c r="L231" s="8" t="s">
        <v>122</v>
      </c>
      <c r="M231" s="9">
        <v>17.5</v>
      </c>
      <c r="N231" s="10">
        <v>2000</v>
      </c>
      <c r="O231" s="173">
        <f t="shared" si="116"/>
        <v>35000</v>
      </c>
      <c r="P231" s="173"/>
      <c r="Q231" s="339"/>
      <c r="R231" s="340"/>
      <c r="S231" s="68"/>
      <c r="T231" s="68"/>
      <c r="U231" s="194"/>
      <c r="V231" s="68"/>
    </row>
    <row r="232" spans="1:22" s="67" customFormat="1" ht="24.75" customHeight="1" x14ac:dyDescent="0.2">
      <c r="A232" s="252" t="s">
        <v>123</v>
      </c>
      <c r="B232" s="305"/>
      <c r="C232" s="306"/>
      <c r="D232" s="307"/>
      <c r="E232" s="308"/>
      <c r="F232" s="203"/>
      <c r="G232" s="204"/>
      <c r="H232" s="305"/>
      <c r="I232" s="306"/>
      <c r="J232" s="307"/>
      <c r="K232" s="355"/>
      <c r="L232" s="253"/>
      <c r="M232" s="254"/>
      <c r="N232" s="255"/>
      <c r="O232" s="256"/>
      <c r="P232" s="256"/>
      <c r="Q232" s="339"/>
      <c r="R232" s="340"/>
      <c r="S232" s="68"/>
      <c r="T232" s="68"/>
      <c r="U232" s="194"/>
      <c r="V232" s="68"/>
    </row>
    <row r="233" spans="1:22" s="67" customFormat="1" ht="24.75" customHeight="1" x14ac:dyDescent="0.2">
      <c r="A233" s="228" t="s">
        <v>196</v>
      </c>
      <c r="B233" s="280" t="s">
        <v>122</v>
      </c>
      <c r="C233" s="281">
        <v>4</v>
      </c>
      <c r="D233" s="282">
        <v>40000</v>
      </c>
      <c r="E233" s="283">
        <f t="shared" ref="E233:E234" si="117">+C233*D233</f>
        <v>160000</v>
      </c>
      <c r="F233" s="224">
        <f>-E233+K236+K239+K242</f>
        <v>-30934.719812023548</v>
      </c>
      <c r="G233" s="225">
        <f t="shared" si="101"/>
        <v>-0.19334199882514719</v>
      </c>
      <c r="H233" s="280"/>
      <c r="I233" s="281"/>
      <c r="J233" s="282"/>
      <c r="K233" s="348">
        <v>0</v>
      </c>
      <c r="L233" s="221"/>
      <c r="M233" s="222"/>
      <c r="N233" s="223"/>
      <c r="O233" s="226"/>
      <c r="P233" s="227">
        <v>49065.280187976452</v>
      </c>
      <c r="Q233" s="339"/>
      <c r="R233" s="340"/>
      <c r="S233" s="68"/>
      <c r="T233" s="68"/>
      <c r="U233" s="194"/>
      <c r="V233" s="68"/>
    </row>
    <row r="234" spans="1:22" s="67" customFormat="1" ht="24.75" customHeight="1" x14ac:dyDescent="0.2">
      <c r="A234" s="228" t="s">
        <v>197</v>
      </c>
      <c r="B234" s="280" t="s">
        <v>15</v>
      </c>
      <c r="C234" s="281">
        <v>8</v>
      </c>
      <c r="D234" s="282">
        <v>1500</v>
      </c>
      <c r="E234" s="283">
        <f t="shared" si="117"/>
        <v>12000</v>
      </c>
      <c r="F234" s="224">
        <f>-E234+K237+K240+K243</f>
        <v>48.365614937485589</v>
      </c>
      <c r="G234" s="225">
        <f t="shared" si="101"/>
        <v>4.0304679114571322E-3</v>
      </c>
      <c r="H234" s="280"/>
      <c r="I234" s="281"/>
      <c r="J234" s="282"/>
      <c r="K234" s="348">
        <v>0</v>
      </c>
      <c r="L234" s="221"/>
      <c r="M234" s="222"/>
      <c r="N234" s="223"/>
      <c r="O234" s="226"/>
      <c r="P234" s="227">
        <v>6048.3656149374856</v>
      </c>
      <c r="Q234" s="339"/>
      <c r="R234" s="340"/>
      <c r="S234" s="68"/>
      <c r="T234" s="68"/>
      <c r="U234" s="194"/>
      <c r="V234" s="68"/>
    </row>
    <row r="235" spans="1:22" s="67" customFormat="1" ht="24.75" customHeight="1" x14ac:dyDescent="0.2">
      <c r="A235" s="76" t="s">
        <v>187</v>
      </c>
      <c r="B235" s="120"/>
      <c r="C235" s="279"/>
      <c r="D235" s="263"/>
      <c r="E235" s="264"/>
      <c r="F235" s="85"/>
      <c r="G235" s="96"/>
      <c r="H235" s="120"/>
      <c r="I235" s="279"/>
      <c r="J235" s="263"/>
      <c r="K235" s="344"/>
      <c r="L235" s="8"/>
      <c r="M235" s="11"/>
      <c r="N235" s="10"/>
      <c r="O235" s="173"/>
      <c r="P235" s="173"/>
      <c r="Q235" s="339"/>
      <c r="R235" s="340"/>
      <c r="S235" s="68"/>
      <c r="T235" s="68"/>
      <c r="U235" s="194"/>
      <c r="V235" s="68"/>
    </row>
    <row r="236" spans="1:22" s="67" customFormat="1" ht="24.75" customHeight="1" x14ac:dyDescent="0.2">
      <c r="A236" s="125" t="s">
        <v>196</v>
      </c>
      <c r="B236" s="120" t="s">
        <v>122</v>
      </c>
      <c r="C236" s="279"/>
      <c r="D236" s="263"/>
      <c r="E236" s="264"/>
      <c r="F236" s="85"/>
      <c r="G236" s="96"/>
      <c r="H236" s="120" t="s">
        <v>122</v>
      </c>
      <c r="I236" s="279">
        <v>1</v>
      </c>
      <c r="J236" s="263">
        <v>40000</v>
      </c>
      <c r="K236" s="344">
        <f t="shared" ref="K236:K237" si="118">I236*J236</f>
        <v>40000</v>
      </c>
      <c r="L236" s="8" t="s">
        <v>122</v>
      </c>
      <c r="M236" s="11">
        <v>1</v>
      </c>
      <c r="N236" s="10">
        <v>40000</v>
      </c>
      <c r="O236" s="173">
        <f t="shared" ref="O236:O237" si="119">M236*N236</f>
        <v>40000</v>
      </c>
      <c r="P236" s="173"/>
      <c r="Q236" s="339"/>
      <c r="R236" s="340"/>
      <c r="S236" s="68"/>
      <c r="T236" s="68"/>
      <c r="U236" s="194"/>
      <c r="V236" s="68"/>
    </row>
    <row r="237" spans="1:22" s="67" customFormat="1" ht="24.75" customHeight="1" x14ac:dyDescent="0.2">
      <c r="A237" s="125" t="s">
        <v>197</v>
      </c>
      <c r="B237" s="120" t="s">
        <v>15</v>
      </c>
      <c r="C237" s="279"/>
      <c r="D237" s="263"/>
      <c r="E237" s="264"/>
      <c r="F237" s="85"/>
      <c r="G237" s="96"/>
      <c r="H237" s="120" t="s">
        <v>15</v>
      </c>
      <c r="I237" s="279">
        <v>2</v>
      </c>
      <c r="J237" s="263">
        <v>1500</v>
      </c>
      <c r="K237" s="344">
        <f t="shared" si="118"/>
        <v>3000</v>
      </c>
      <c r="L237" s="8" t="s">
        <v>15</v>
      </c>
      <c r="M237" s="11">
        <v>2</v>
      </c>
      <c r="N237" s="10">
        <v>1500</v>
      </c>
      <c r="O237" s="173">
        <f t="shared" si="119"/>
        <v>3000</v>
      </c>
      <c r="P237" s="173"/>
      <c r="Q237" s="339"/>
      <c r="R237" s="340"/>
      <c r="S237" s="68"/>
      <c r="T237" s="68"/>
      <c r="U237" s="194"/>
      <c r="V237" s="68"/>
    </row>
    <row r="238" spans="1:22" s="67" customFormat="1" ht="24.75" customHeight="1" x14ac:dyDescent="0.2">
      <c r="A238" s="76" t="s">
        <v>188</v>
      </c>
      <c r="B238" s="120"/>
      <c r="C238" s="279"/>
      <c r="D238" s="263"/>
      <c r="E238" s="264"/>
      <c r="F238" s="85"/>
      <c r="G238" s="96"/>
      <c r="H238" s="120"/>
      <c r="I238" s="279"/>
      <c r="J238" s="263"/>
      <c r="K238" s="344"/>
      <c r="L238" s="8"/>
      <c r="M238" s="11"/>
      <c r="N238" s="10"/>
      <c r="O238" s="173"/>
      <c r="P238" s="173"/>
      <c r="Q238" s="339"/>
      <c r="R238" s="340"/>
      <c r="S238" s="68"/>
      <c r="T238" s="68"/>
      <c r="U238" s="194"/>
      <c r="V238" s="68"/>
    </row>
    <row r="239" spans="1:22" s="67" customFormat="1" ht="24.75" customHeight="1" x14ac:dyDescent="0.2">
      <c r="A239" s="125" t="s">
        <v>196</v>
      </c>
      <c r="B239" s="120" t="s">
        <v>122</v>
      </c>
      <c r="C239" s="279"/>
      <c r="D239" s="263"/>
      <c r="E239" s="264"/>
      <c r="F239" s="85"/>
      <c r="G239" s="96"/>
      <c r="H239" s="120" t="s">
        <v>122</v>
      </c>
      <c r="I239" s="279">
        <v>1</v>
      </c>
      <c r="J239" s="263">
        <v>40000</v>
      </c>
      <c r="K239" s="344">
        <f t="shared" ref="K239:K240" si="120">I239*J239</f>
        <v>40000</v>
      </c>
      <c r="L239" s="8" t="s">
        <v>122</v>
      </c>
      <c r="M239" s="11">
        <v>1</v>
      </c>
      <c r="N239" s="10">
        <v>40000</v>
      </c>
      <c r="O239" s="173">
        <f t="shared" ref="O239:O240" si="121">M239*N239</f>
        <v>40000</v>
      </c>
      <c r="P239" s="173"/>
      <c r="Q239" s="339"/>
      <c r="R239" s="340"/>
      <c r="S239" s="68"/>
      <c r="T239" s="68"/>
      <c r="U239" s="194"/>
      <c r="V239" s="68"/>
    </row>
    <row r="240" spans="1:22" s="67" customFormat="1" ht="24.75" customHeight="1" x14ac:dyDescent="0.2">
      <c r="A240" s="125" t="s">
        <v>197</v>
      </c>
      <c r="B240" s="120" t="s">
        <v>15</v>
      </c>
      <c r="C240" s="279"/>
      <c r="D240" s="263"/>
      <c r="E240" s="264"/>
      <c r="F240" s="85"/>
      <c r="G240" s="96"/>
      <c r="H240" s="120" t="s">
        <v>15</v>
      </c>
      <c r="I240" s="279">
        <v>2</v>
      </c>
      <c r="J240" s="263">
        <v>1500</v>
      </c>
      <c r="K240" s="344">
        <f t="shared" si="120"/>
        <v>3000</v>
      </c>
      <c r="L240" s="8" t="s">
        <v>15</v>
      </c>
      <c r="M240" s="11">
        <v>2</v>
      </c>
      <c r="N240" s="10">
        <v>1500</v>
      </c>
      <c r="O240" s="173">
        <f t="shared" si="121"/>
        <v>3000</v>
      </c>
      <c r="P240" s="173"/>
      <c r="Q240" s="339"/>
      <c r="R240" s="340"/>
      <c r="S240" s="68"/>
      <c r="T240" s="68"/>
      <c r="U240" s="194"/>
      <c r="V240" s="68"/>
    </row>
    <row r="241" spans="1:22" s="67" customFormat="1" ht="24.75" customHeight="1" x14ac:dyDescent="0.2">
      <c r="A241" s="76" t="s">
        <v>189</v>
      </c>
      <c r="B241" s="120"/>
      <c r="C241" s="279"/>
      <c r="D241" s="263"/>
      <c r="E241" s="264"/>
      <c r="F241" s="85"/>
      <c r="G241" s="96"/>
      <c r="H241" s="120"/>
      <c r="I241" s="279"/>
      <c r="J241" s="263"/>
      <c r="K241" s="344"/>
      <c r="L241" s="8"/>
      <c r="M241" s="11"/>
      <c r="N241" s="10"/>
      <c r="O241" s="173"/>
      <c r="P241" s="173"/>
      <c r="Q241" s="339"/>
      <c r="R241" s="340"/>
      <c r="S241" s="68"/>
      <c r="T241" s="68"/>
      <c r="U241" s="194"/>
      <c r="V241" s="68"/>
    </row>
    <row r="242" spans="1:22" s="67" customFormat="1" ht="24.75" customHeight="1" x14ac:dyDescent="0.2">
      <c r="A242" s="125" t="s">
        <v>196</v>
      </c>
      <c r="B242" s="120" t="s">
        <v>122</v>
      </c>
      <c r="C242" s="279"/>
      <c r="D242" s="263"/>
      <c r="E242" s="264"/>
      <c r="F242" s="85"/>
      <c r="G242" s="96"/>
      <c r="H242" s="120" t="s">
        <v>122</v>
      </c>
      <c r="I242" s="279">
        <f>K242/J242</f>
        <v>1.2266320046994112</v>
      </c>
      <c r="J242" s="263">
        <v>40000</v>
      </c>
      <c r="K242" s="344">
        <f>P233</f>
        <v>49065.280187976452</v>
      </c>
      <c r="L242" s="8" t="s">
        <v>122</v>
      </c>
      <c r="M242" s="11">
        <v>0</v>
      </c>
      <c r="N242" s="10">
        <v>40000</v>
      </c>
      <c r="O242" s="173">
        <f t="shared" ref="O242:O243" si="122">M242*N242</f>
        <v>0</v>
      </c>
      <c r="P242" s="173"/>
      <c r="Q242" s="339"/>
      <c r="R242" s="340"/>
      <c r="S242" s="68"/>
      <c r="T242" s="68"/>
      <c r="U242" s="194"/>
      <c r="V242" s="68"/>
    </row>
    <row r="243" spans="1:22" s="67" customFormat="1" ht="24.75" customHeight="1" thickBot="1" x14ac:dyDescent="0.25">
      <c r="A243" s="125" t="s">
        <v>197</v>
      </c>
      <c r="B243" s="120" t="s">
        <v>15</v>
      </c>
      <c r="C243" s="279"/>
      <c r="D243" s="263"/>
      <c r="E243" s="264"/>
      <c r="F243" s="85"/>
      <c r="G243" s="96"/>
      <c r="H243" s="120" t="s">
        <v>15</v>
      </c>
      <c r="I243" s="279">
        <f>K243/J243</f>
        <v>4.0322437432916569</v>
      </c>
      <c r="J243" s="263">
        <v>1500</v>
      </c>
      <c r="K243" s="344">
        <f>P234</f>
        <v>6048.3656149374856</v>
      </c>
      <c r="L243" s="8" t="s">
        <v>15</v>
      </c>
      <c r="M243" s="11">
        <v>0</v>
      </c>
      <c r="N243" s="10">
        <v>1500</v>
      </c>
      <c r="O243" s="173">
        <f t="shared" si="122"/>
        <v>0</v>
      </c>
      <c r="P243" s="173"/>
      <c r="Q243" s="339"/>
      <c r="R243" s="340"/>
      <c r="S243" s="68"/>
      <c r="T243" s="68"/>
      <c r="U243" s="194"/>
      <c r="V243" s="68"/>
    </row>
    <row r="244" spans="1:22" s="67" customFormat="1" ht="24.75" customHeight="1" thickBot="1" x14ac:dyDescent="0.25">
      <c r="A244" s="59" t="s">
        <v>193</v>
      </c>
      <c r="B244" s="60"/>
      <c r="C244" s="61"/>
      <c r="D244" s="62"/>
      <c r="E244" s="64">
        <f>SUM(E194:E243)</f>
        <v>745600</v>
      </c>
      <c r="F244" s="100">
        <f>-E244+K244</f>
        <v>-9243.3862843471579</v>
      </c>
      <c r="G244" s="101">
        <f>F244/E244</f>
        <v>-1.2397245553040717E-2</v>
      </c>
      <c r="H244" s="102"/>
      <c r="I244" s="103"/>
      <c r="J244" s="104"/>
      <c r="K244" s="356">
        <f>SUM(K194:K243)</f>
        <v>736356.61371565284</v>
      </c>
      <c r="L244" s="102"/>
      <c r="M244" s="103"/>
      <c r="N244" s="104"/>
      <c r="O244" s="179">
        <f>SUM(O194:O243)</f>
        <v>655273.14285714284</v>
      </c>
      <c r="P244" s="179">
        <f>SUM(P194:P243)</f>
        <v>104603.79085850996</v>
      </c>
      <c r="Q244" s="251"/>
      <c r="R244" s="68"/>
      <c r="S244" s="68"/>
      <c r="T244" s="68"/>
      <c r="U244" s="194"/>
      <c r="V244" s="68"/>
    </row>
    <row r="245" spans="1:22" s="67" customFormat="1" ht="24.75" customHeight="1" thickBot="1" x14ac:dyDescent="0.25">
      <c r="A245" s="41" t="s">
        <v>124</v>
      </c>
      <c r="B245" s="42"/>
      <c r="C245" s="43"/>
      <c r="D245" s="44"/>
      <c r="E245" s="82">
        <f>E60+E82+E86+E97+E125+E152+E179+E193+E244</f>
        <v>6695786</v>
      </c>
      <c r="F245" s="105">
        <f>-E245+K245</f>
        <v>-8.6202844977378845E-4</v>
      </c>
      <c r="G245" s="106">
        <f>F245/E245</f>
        <v>-1.2874193556571081E-10</v>
      </c>
      <c r="H245" s="334"/>
      <c r="I245" s="43"/>
      <c r="J245" s="44"/>
      <c r="K245" s="357">
        <f>K60+K82+K86+K97+K125+K152+K179+K193+K244</f>
        <v>6695785.9991379716</v>
      </c>
      <c r="L245" s="334"/>
      <c r="M245" s="43"/>
      <c r="N245" s="44"/>
      <c r="O245" s="175">
        <f>O60+O82+O86+O97+O125+O152+O179+O193+O244</f>
        <v>5713338.1928571435</v>
      </c>
      <c r="P245" s="175">
        <f>P60+P82+P86+P97+P125+P152+P179+P193+P244</f>
        <v>1096840.8162808276</v>
      </c>
      <c r="Q245" s="68"/>
      <c r="R245" s="68"/>
      <c r="S245" s="68"/>
      <c r="T245" s="68"/>
      <c r="U245" s="194"/>
      <c r="V245" s="68"/>
    </row>
    <row r="246" spans="1:22" s="67" customFormat="1" ht="24.75" customHeight="1" thickBot="1" x14ac:dyDescent="0.25">
      <c r="A246" s="45" t="s">
        <v>125</v>
      </c>
      <c r="B246" s="309"/>
      <c r="C246" s="310"/>
      <c r="D246" s="310"/>
      <c r="E246" s="264">
        <v>4214</v>
      </c>
      <c r="F246" s="90">
        <f>-E246+K246</f>
        <v>0</v>
      </c>
      <c r="G246" s="107">
        <f>F246/E246</f>
        <v>0</v>
      </c>
      <c r="H246" s="296"/>
      <c r="I246" s="310"/>
      <c r="J246" s="310"/>
      <c r="K246" s="358">
        <v>4214</v>
      </c>
      <c r="L246" s="30"/>
      <c r="M246" s="46"/>
      <c r="N246" s="46"/>
      <c r="O246" s="180">
        <v>4214</v>
      </c>
      <c r="P246" s="180"/>
      <c r="Q246" s="68"/>
      <c r="R246" s="68"/>
      <c r="S246" s="68"/>
      <c r="T246" s="68"/>
      <c r="U246" s="194"/>
      <c r="V246" s="68"/>
    </row>
    <row r="247" spans="1:22" s="67" customFormat="1" ht="24.75" customHeight="1" thickBot="1" x14ac:dyDescent="0.25">
      <c r="A247" s="41" t="s">
        <v>126</v>
      </c>
      <c r="B247" s="42"/>
      <c r="C247" s="43"/>
      <c r="D247" s="44"/>
      <c r="E247" s="82">
        <f>E245+E246</f>
        <v>6700000</v>
      </c>
      <c r="F247" s="105">
        <f>-E247+K247</f>
        <v>-8.6202844977378845E-4</v>
      </c>
      <c r="G247" s="106">
        <f>F247/E247</f>
        <v>-1.2866096265280424E-10</v>
      </c>
      <c r="H247" s="334"/>
      <c r="I247" s="43"/>
      <c r="J247" s="44"/>
      <c r="K247" s="357">
        <f>K245+K246</f>
        <v>6699999.9991379716</v>
      </c>
      <c r="L247" s="334"/>
      <c r="M247" s="43"/>
      <c r="N247" s="44"/>
      <c r="O247" s="175"/>
      <c r="P247" s="175"/>
      <c r="Q247" s="68"/>
      <c r="R247" s="68"/>
      <c r="S247" s="68"/>
      <c r="T247" s="68"/>
      <c r="U247" s="194"/>
      <c r="V247" s="68"/>
    </row>
    <row r="248" spans="1:22" s="67" customFormat="1" ht="24.75" customHeight="1" thickBot="1" x14ac:dyDescent="0.25">
      <c r="A248" s="47" t="s">
        <v>127</v>
      </c>
      <c r="B248" s="311"/>
      <c r="C248" s="312"/>
      <c r="D248" s="313"/>
      <c r="E248" s="264"/>
      <c r="F248" s="90"/>
      <c r="G248" s="107"/>
      <c r="H248" s="359"/>
      <c r="I248" s="297"/>
      <c r="J248" s="298"/>
      <c r="K248" s="358"/>
      <c r="L248" s="335"/>
      <c r="M248" s="31"/>
      <c r="N248" s="32"/>
      <c r="O248" s="180"/>
      <c r="P248" s="180"/>
      <c r="Q248" s="68"/>
      <c r="R248" s="68"/>
      <c r="S248" s="68"/>
      <c r="T248" s="68"/>
      <c r="U248" s="194"/>
      <c r="V248" s="68"/>
    </row>
    <row r="249" spans="1:22" s="67" customFormat="1" ht="24.75" customHeight="1" thickBot="1" x14ac:dyDescent="0.25">
      <c r="A249" s="41" t="s">
        <v>128</v>
      </c>
      <c r="B249" s="42"/>
      <c r="C249" s="43"/>
      <c r="D249" s="44"/>
      <c r="E249" s="82">
        <f>E247+E248</f>
        <v>6700000</v>
      </c>
      <c r="F249" s="105">
        <f>-E249+K249</f>
        <v>-8.6202844977378845E-4</v>
      </c>
      <c r="G249" s="106">
        <f>F249/E249</f>
        <v>-1.2866096265280424E-10</v>
      </c>
      <c r="H249" s="334"/>
      <c r="I249" s="43"/>
      <c r="J249" s="44"/>
      <c r="K249" s="357">
        <f>K247+K248</f>
        <v>6699999.9991379716</v>
      </c>
      <c r="L249" s="334"/>
      <c r="M249" s="43"/>
      <c r="N249" s="44"/>
      <c r="O249" s="175"/>
      <c r="P249" s="175"/>
      <c r="Q249" s="68"/>
      <c r="R249" s="68"/>
      <c r="S249" s="68"/>
      <c r="T249" s="68"/>
      <c r="U249" s="194"/>
      <c r="V249" s="68"/>
    </row>
    <row r="250" spans="1:22" s="67" customFormat="1" ht="24.75" customHeight="1" thickBot="1" x14ac:dyDescent="0.25">
      <c r="A250" s="48" t="s">
        <v>137</v>
      </c>
      <c r="B250" s="314"/>
      <c r="C250" s="315"/>
      <c r="D250" s="316"/>
      <c r="E250" s="317"/>
      <c r="F250" s="90"/>
      <c r="G250" s="107"/>
      <c r="H250" s="359"/>
      <c r="I250" s="318"/>
      <c r="J250" s="319"/>
      <c r="K250" s="358"/>
      <c r="L250" s="335"/>
      <c r="M250" s="91"/>
      <c r="N250" s="92"/>
      <c r="O250" s="180"/>
      <c r="P250" s="180"/>
      <c r="Q250" s="68"/>
      <c r="R250" s="68"/>
      <c r="S250" s="68"/>
      <c r="T250" s="68"/>
      <c r="U250" s="194"/>
      <c r="V250" s="68"/>
    </row>
    <row r="251" spans="1:22" s="67" customFormat="1" ht="24.75" customHeight="1" thickBot="1" x14ac:dyDescent="0.25">
      <c r="A251" s="41" t="s">
        <v>138</v>
      </c>
      <c r="B251" s="42"/>
      <c r="C251" s="43"/>
      <c r="D251" s="44"/>
      <c r="E251" s="82">
        <f>E249+E250</f>
        <v>6700000</v>
      </c>
      <c r="F251" s="105">
        <f>-E251+K251</f>
        <v>-8.6202844977378845E-4</v>
      </c>
      <c r="G251" s="106">
        <f>F251/E251</f>
        <v>-1.2866096265280424E-10</v>
      </c>
      <c r="H251" s="334"/>
      <c r="I251" s="43"/>
      <c r="J251" s="44"/>
      <c r="K251" s="357">
        <f>K249+K250</f>
        <v>6699999.9991379716</v>
      </c>
      <c r="L251" s="334"/>
      <c r="M251" s="43"/>
      <c r="N251" s="44"/>
      <c r="O251" s="175"/>
      <c r="P251" s="175"/>
      <c r="Q251" s="68"/>
      <c r="R251" s="68"/>
      <c r="S251" s="68"/>
      <c r="T251" s="68"/>
      <c r="U251" s="194"/>
      <c r="V251" s="68"/>
    </row>
    <row r="252" spans="1:22" ht="18" x14ac:dyDescent="0.2">
      <c r="U252" s="194"/>
    </row>
    <row r="253" spans="1:22" ht="18" x14ac:dyDescent="0.2">
      <c r="U253" s="194"/>
    </row>
    <row r="254" spans="1:22" ht="18" x14ac:dyDescent="0.2">
      <c r="U254" s="194"/>
    </row>
    <row r="255" spans="1:22" ht="18" x14ac:dyDescent="0.2">
      <c r="U255" s="194"/>
    </row>
    <row r="256" spans="1:22" ht="18" x14ac:dyDescent="0.2">
      <c r="A256" s="126"/>
      <c r="U256" s="194"/>
    </row>
  </sheetData>
  <mergeCells count="6">
    <mergeCell ref="P9:P10"/>
    <mergeCell ref="F9:F10"/>
    <mergeCell ref="F7:G7"/>
    <mergeCell ref="M3:O3"/>
    <mergeCell ref="A9:A10"/>
    <mergeCell ref="G9:G10"/>
  </mergeCells>
  <pageMargins left="0.25" right="0.25" top="0.75" bottom="0.75" header="0.3" footer="0.3"/>
  <pageSetup paperSize="8" scale="48" fitToHeight="0" orientation="portrait" r:id="rId1"/>
  <headerFooter alignWithMargins="0">
    <oddFooter>&amp;L&amp;"Times New Roman,Gras"&amp;9January 2013
&amp;"Times New Roman,Normal"&amp;F&amp;R&amp;"Times New Roman,Normal"&amp;9&amp;P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6"/>
  <sheetViews>
    <sheetView showGridLines="0" topLeftCell="A58" zoomScale="80" zoomScaleNormal="80" workbookViewId="0">
      <selection activeCell="A158" sqref="A158"/>
    </sheetView>
  </sheetViews>
  <sheetFormatPr baseColWidth="10" defaultColWidth="9.140625" defaultRowHeight="12.75" x14ac:dyDescent="0.2"/>
  <cols>
    <col min="1" max="1" width="87.5703125" style="128" customWidth="1"/>
    <col min="2" max="2" width="2.5703125" style="128" customWidth="1"/>
    <col min="3" max="3" width="71.28515625" style="161" customWidth="1"/>
    <col min="4" max="4" width="70.7109375" style="161" customWidth="1"/>
    <col min="5" max="16384" width="9.140625" style="128"/>
  </cols>
  <sheetData>
    <row r="1" spans="1:4" ht="15.75" thickBot="1" x14ac:dyDescent="0.25">
      <c r="A1" s="373" t="s">
        <v>200</v>
      </c>
      <c r="B1" s="127"/>
      <c r="C1" s="375" t="s">
        <v>201</v>
      </c>
      <c r="D1" s="376"/>
    </row>
    <row r="2" spans="1:4" ht="15.75" thickBot="1" x14ac:dyDescent="0.25">
      <c r="A2" s="374"/>
      <c r="B2" s="127"/>
      <c r="C2" s="129" t="s">
        <v>202</v>
      </c>
      <c r="D2" s="130" t="s">
        <v>203</v>
      </c>
    </row>
    <row r="3" spans="1:4" ht="24" customHeight="1" x14ac:dyDescent="0.2">
      <c r="A3" s="4" t="s">
        <v>12</v>
      </c>
      <c r="C3" s="131"/>
      <c r="D3" s="132"/>
    </row>
    <row r="4" spans="1:4" ht="24" customHeight="1" x14ac:dyDescent="0.2">
      <c r="A4" s="73" t="s">
        <v>129</v>
      </c>
      <c r="C4" s="133"/>
      <c r="D4" s="134"/>
    </row>
    <row r="5" spans="1:4" ht="24" customHeight="1" x14ac:dyDescent="0.2">
      <c r="A5" s="125" t="s">
        <v>13</v>
      </c>
      <c r="C5" s="133"/>
      <c r="D5" s="134"/>
    </row>
    <row r="6" spans="1:4" ht="24" customHeight="1" x14ac:dyDescent="0.2">
      <c r="A6" s="75" t="s">
        <v>144</v>
      </c>
      <c r="C6" s="135" t="s">
        <v>223</v>
      </c>
      <c r="D6" s="136" t="s">
        <v>226</v>
      </c>
    </row>
    <row r="7" spans="1:4" ht="24" customHeight="1" x14ac:dyDescent="0.2">
      <c r="A7" s="75" t="s">
        <v>145</v>
      </c>
      <c r="C7" s="135" t="s">
        <v>224</v>
      </c>
      <c r="D7" s="136" t="s">
        <v>226</v>
      </c>
    </row>
    <row r="8" spans="1:4" ht="24" customHeight="1" x14ac:dyDescent="0.2">
      <c r="A8" s="75" t="s">
        <v>146</v>
      </c>
      <c r="C8" s="135" t="s">
        <v>225</v>
      </c>
      <c r="D8" s="136" t="s">
        <v>226</v>
      </c>
    </row>
    <row r="9" spans="1:4" ht="24" customHeight="1" x14ac:dyDescent="0.2">
      <c r="A9" s="125" t="s">
        <v>204</v>
      </c>
      <c r="C9" s="133"/>
      <c r="D9" s="134"/>
    </row>
    <row r="10" spans="1:4" ht="24" customHeight="1" x14ac:dyDescent="0.2">
      <c r="A10" s="125" t="s">
        <v>147</v>
      </c>
      <c r="C10" s="133" t="s">
        <v>227</v>
      </c>
      <c r="D10" s="136" t="s">
        <v>226</v>
      </c>
    </row>
    <row r="11" spans="1:4" ht="24" customHeight="1" x14ac:dyDescent="0.2">
      <c r="A11" s="125" t="s">
        <v>148</v>
      </c>
      <c r="C11" s="133" t="s">
        <v>229</v>
      </c>
      <c r="D11" s="136" t="s">
        <v>226</v>
      </c>
    </row>
    <row r="12" spans="1:4" ht="24" customHeight="1" x14ac:dyDescent="0.2">
      <c r="A12" s="125" t="s">
        <v>149</v>
      </c>
      <c r="C12" s="133" t="s">
        <v>228</v>
      </c>
      <c r="D12" s="136" t="s">
        <v>226</v>
      </c>
    </row>
    <row r="13" spans="1:4" ht="24" customHeight="1" x14ac:dyDescent="0.2">
      <c r="A13" s="125" t="s">
        <v>18</v>
      </c>
      <c r="C13" s="133" t="s">
        <v>205</v>
      </c>
      <c r="D13" s="136" t="s">
        <v>230</v>
      </c>
    </row>
    <row r="14" spans="1:4" ht="24" customHeight="1" x14ac:dyDescent="0.2">
      <c r="A14" s="125" t="s">
        <v>19</v>
      </c>
      <c r="C14" s="112" t="s">
        <v>231</v>
      </c>
      <c r="D14" s="136" t="s">
        <v>226</v>
      </c>
    </row>
    <row r="15" spans="1:4" ht="24" customHeight="1" x14ac:dyDescent="0.2">
      <c r="A15" s="76" t="s">
        <v>20</v>
      </c>
      <c r="C15" s="133"/>
      <c r="D15" s="134"/>
    </row>
    <row r="16" spans="1:4" ht="24" customHeight="1" x14ac:dyDescent="0.2">
      <c r="A16" s="125" t="s">
        <v>21</v>
      </c>
      <c r="C16" s="112" t="s">
        <v>206</v>
      </c>
      <c r="D16" s="134" t="s">
        <v>207</v>
      </c>
    </row>
    <row r="17" spans="1:4" ht="24" customHeight="1" x14ac:dyDescent="0.2">
      <c r="A17" s="125" t="s">
        <v>22</v>
      </c>
      <c r="C17" s="112" t="s">
        <v>206</v>
      </c>
      <c r="D17" s="134" t="s">
        <v>207</v>
      </c>
    </row>
    <row r="18" spans="1:4" ht="24" customHeight="1" x14ac:dyDescent="0.2">
      <c r="A18" s="125" t="s">
        <v>23</v>
      </c>
      <c r="C18" s="112" t="s">
        <v>206</v>
      </c>
      <c r="D18" s="134" t="s">
        <v>207</v>
      </c>
    </row>
    <row r="19" spans="1:4" ht="24" customHeight="1" x14ac:dyDescent="0.2">
      <c r="A19" s="125" t="s">
        <v>24</v>
      </c>
      <c r="C19" s="137" t="s">
        <v>232</v>
      </c>
      <c r="D19" s="134" t="s">
        <v>207</v>
      </c>
    </row>
    <row r="20" spans="1:4" ht="24" customHeight="1" x14ac:dyDescent="0.2">
      <c r="A20" s="125" t="s">
        <v>208</v>
      </c>
      <c r="C20" s="133"/>
      <c r="D20" s="134"/>
    </row>
    <row r="21" spans="1:4" ht="24" customHeight="1" x14ac:dyDescent="0.2">
      <c r="A21" s="125" t="s">
        <v>150</v>
      </c>
      <c r="C21" s="135" t="s">
        <v>344</v>
      </c>
      <c r="D21" s="136" t="s">
        <v>209</v>
      </c>
    </row>
    <row r="22" spans="1:4" ht="24" customHeight="1" x14ac:dyDescent="0.2">
      <c r="A22" s="125" t="s">
        <v>151</v>
      </c>
      <c r="C22" s="133" t="s">
        <v>345</v>
      </c>
      <c r="D22" s="134" t="s">
        <v>209</v>
      </c>
    </row>
    <row r="23" spans="1:4" ht="24" customHeight="1" x14ac:dyDescent="0.2">
      <c r="A23" s="125" t="s">
        <v>152</v>
      </c>
      <c r="C23" s="133" t="s">
        <v>346</v>
      </c>
      <c r="D23" s="134" t="s">
        <v>209</v>
      </c>
    </row>
    <row r="24" spans="1:4" ht="24" customHeight="1" x14ac:dyDescent="0.2">
      <c r="A24" s="125" t="s">
        <v>153</v>
      </c>
      <c r="C24" s="133" t="s">
        <v>347</v>
      </c>
      <c r="D24" s="134" t="s">
        <v>209</v>
      </c>
    </row>
    <row r="25" spans="1:4" ht="24" customHeight="1" x14ac:dyDescent="0.2">
      <c r="A25" s="73" t="s">
        <v>130</v>
      </c>
      <c r="C25" s="133"/>
      <c r="D25" s="134"/>
    </row>
    <row r="26" spans="1:4" ht="24" customHeight="1" x14ac:dyDescent="0.2">
      <c r="A26" s="125" t="s">
        <v>26</v>
      </c>
      <c r="C26" s="133"/>
      <c r="D26" s="134"/>
    </row>
    <row r="27" spans="1:4" ht="24" customHeight="1" x14ac:dyDescent="0.2">
      <c r="A27" s="75" t="s">
        <v>154</v>
      </c>
      <c r="C27" s="133"/>
      <c r="D27" s="134"/>
    </row>
    <row r="28" spans="1:4" ht="25.5" x14ac:dyDescent="0.2">
      <c r="A28" s="125" t="s">
        <v>28</v>
      </c>
      <c r="C28" s="112" t="s">
        <v>234</v>
      </c>
      <c r="D28" s="162" t="s">
        <v>236</v>
      </c>
    </row>
    <row r="29" spans="1:4" ht="25.5" x14ac:dyDescent="0.2">
      <c r="A29" s="125" t="s">
        <v>30</v>
      </c>
      <c r="C29" s="112" t="s">
        <v>233</v>
      </c>
      <c r="D29" s="162" t="s">
        <v>235</v>
      </c>
    </row>
    <row r="30" spans="1:4" ht="24" customHeight="1" x14ac:dyDescent="0.2">
      <c r="A30" s="75" t="s">
        <v>155</v>
      </c>
      <c r="C30" s="133"/>
      <c r="D30" s="134"/>
    </row>
    <row r="31" spans="1:4" ht="25.5" x14ac:dyDescent="0.2">
      <c r="A31" s="125" t="s">
        <v>28</v>
      </c>
      <c r="C31" s="112" t="s">
        <v>237</v>
      </c>
      <c r="D31" s="162" t="s">
        <v>238</v>
      </c>
    </row>
    <row r="32" spans="1:4" ht="25.5" x14ac:dyDescent="0.2">
      <c r="A32" s="125" t="s">
        <v>30</v>
      </c>
      <c r="C32" s="112" t="s">
        <v>239</v>
      </c>
      <c r="D32" s="162" t="s">
        <v>240</v>
      </c>
    </row>
    <row r="33" spans="1:4" ht="24" customHeight="1" x14ac:dyDescent="0.2">
      <c r="A33" s="75" t="s">
        <v>156</v>
      </c>
      <c r="C33" s="133"/>
      <c r="D33" s="134"/>
    </row>
    <row r="34" spans="1:4" ht="25.5" x14ac:dyDescent="0.2">
      <c r="A34" s="125" t="s">
        <v>28</v>
      </c>
      <c r="C34" s="112" t="s">
        <v>241</v>
      </c>
      <c r="D34" s="162" t="s">
        <v>242</v>
      </c>
    </row>
    <row r="35" spans="1:4" ht="25.5" x14ac:dyDescent="0.2">
      <c r="A35" s="125" t="s">
        <v>30</v>
      </c>
      <c r="C35" s="112" t="s">
        <v>243</v>
      </c>
      <c r="D35" s="162" t="s">
        <v>244</v>
      </c>
    </row>
    <row r="36" spans="1:4" ht="24" customHeight="1" x14ac:dyDescent="0.2">
      <c r="A36" s="125" t="s">
        <v>157</v>
      </c>
      <c r="C36" s="133"/>
      <c r="D36" s="134"/>
    </row>
    <row r="37" spans="1:4" ht="25.5" x14ac:dyDescent="0.2">
      <c r="A37" s="75" t="s">
        <v>32</v>
      </c>
      <c r="C37" s="112" t="s">
        <v>245</v>
      </c>
      <c r="D37" s="162" t="s">
        <v>251</v>
      </c>
    </row>
    <row r="38" spans="1:4" ht="25.5" x14ac:dyDescent="0.2">
      <c r="A38" s="75" t="s">
        <v>34</v>
      </c>
      <c r="C38" s="138" t="s">
        <v>246</v>
      </c>
      <c r="D38" s="162" t="s">
        <v>252</v>
      </c>
    </row>
    <row r="39" spans="1:4" ht="24" customHeight="1" x14ac:dyDescent="0.2">
      <c r="A39" s="125" t="s">
        <v>158</v>
      </c>
      <c r="C39" s="133"/>
      <c r="D39" s="134"/>
    </row>
    <row r="40" spans="1:4" ht="25.5" x14ac:dyDescent="0.2">
      <c r="A40" s="75" t="s">
        <v>32</v>
      </c>
      <c r="C40" s="112" t="s">
        <v>247</v>
      </c>
      <c r="D40" s="162" t="s">
        <v>253</v>
      </c>
    </row>
    <row r="41" spans="1:4" ht="25.5" x14ac:dyDescent="0.2">
      <c r="A41" s="75" t="s">
        <v>34</v>
      </c>
      <c r="C41" s="138" t="s">
        <v>248</v>
      </c>
      <c r="D41" s="162" t="s">
        <v>254</v>
      </c>
    </row>
    <row r="42" spans="1:4" ht="24" customHeight="1" x14ac:dyDescent="0.2">
      <c r="A42" s="125" t="s">
        <v>159</v>
      </c>
      <c r="C42" s="133"/>
      <c r="D42" s="134"/>
    </row>
    <row r="43" spans="1:4" ht="25.5" x14ac:dyDescent="0.2">
      <c r="A43" s="75" t="s">
        <v>32</v>
      </c>
      <c r="C43" s="112" t="s">
        <v>249</v>
      </c>
      <c r="D43" s="162" t="s">
        <v>255</v>
      </c>
    </row>
    <row r="44" spans="1:4" ht="26.25" thickBot="1" x14ac:dyDescent="0.25">
      <c r="A44" s="77" t="s">
        <v>34</v>
      </c>
      <c r="C44" s="138" t="s">
        <v>250</v>
      </c>
      <c r="D44" s="163" t="s">
        <v>254</v>
      </c>
    </row>
    <row r="45" spans="1:4" ht="24" customHeight="1" thickBot="1" x14ac:dyDescent="0.25">
      <c r="A45" s="139" t="s">
        <v>35</v>
      </c>
      <c r="C45" s="140"/>
      <c r="D45" s="141"/>
    </row>
    <row r="46" spans="1:4" ht="24" customHeight="1" x14ac:dyDescent="0.2">
      <c r="A46" s="4" t="s">
        <v>131</v>
      </c>
      <c r="C46" s="142"/>
      <c r="D46" s="143"/>
    </row>
    <row r="47" spans="1:4" ht="24" customHeight="1" x14ac:dyDescent="0.2">
      <c r="A47" s="76" t="s">
        <v>36</v>
      </c>
      <c r="C47" s="133"/>
      <c r="D47" s="134"/>
    </row>
    <row r="48" spans="1:4" ht="24" customHeight="1" x14ac:dyDescent="0.2">
      <c r="A48" s="125" t="s">
        <v>37</v>
      </c>
      <c r="C48" s="133"/>
      <c r="D48" s="134"/>
    </row>
    <row r="49" spans="1:4" ht="24" customHeight="1" x14ac:dyDescent="0.2">
      <c r="A49" s="75" t="s">
        <v>277</v>
      </c>
      <c r="C49" s="135" t="s">
        <v>280</v>
      </c>
      <c r="D49" s="136" t="s">
        <v>399</v>
      </c>
    </row>
    <row r="50" spans="1:4" ht="24" customHeight="1" x14ac:dyDescent="0.2">
      <c r="A50" s="75" t="s">
        <v>278</v>
      </c>
      <c r="C50" s="135" t="s">
        <v>281</v>
      </c>
      <c r="D50" s="136" t="s">
        <v>399</v>
      </c>
    </row>
    <row r="51" spans="1:4" ht="24" customHeight="1" x14ac:dyDescent="0.2">
      <c r="A51" s="75" t="s">
        <v>279</v>
      </c>
      <c r="C51" s="135" t="s">
        <v>282</v>
      </c>
      <c r="D51" s="136" t="s">
        <v>399</v>
      </c>
    </row>
    <row r="52" spans="1:4" ht="24" customHeight="1" x14ac:dyDescent="0.2">
      <c r="A52" s="75" t="s">
        <v>160</v>
      </c>
      <c r="C52" s="137" t="s">
        <v>232</v>
      </c>
      <c r="D52" s="134"/>
    </row>
    <row r="53" spans="1:4" ht="24" customHeight="1" x14ac:dyDescent="0.2">
      <c r="A53" s="75" t="s">
        <v>161</v>
      </c>
      <c r="C53" s="135" t="s">
        <v>283</v>
      </c>
      <c r="D53" s="136" t="s">
        <v>276</v>
      </c>
    </row>
    <row r="54" spans="1:4" ht="24" customHeight="1" x14ac:dyDescent="0.2">
      <c r="A54" s="75" t="s">
        <v>162</v>
      </c>
      <c r="C54" s="135" t="s">
        <v>284</v>
      </c>
      <c r="D54" s="136" t="s">
        <v>276</v>
      </c>
    </row>
    <row r="55" spans="1:4" ht="24" customHeight="1" x14ac:dyDescent="0.2">
      <c r="A55" s="75" t="s">
        <v>163</v>
      </c>
      <c r="C55" s="135" t="s">
        <v>285</v>
      </c>
      <c r="D55" s="136" t="s">
        <v>276</v>
      </c>
    </row>
    <row r="56" spans="1:4" ht="24" customHeight="1" x14ac:dyDescent="0.2">
      <c r="A56" s="73" t="s">
        <v>41</v>
      </c>
      <c r="C56" s="133"/>
      <c r="D56" s="134"/>
    </row>
    <row r="57" spans="1:4" ht="33" customHeight="1" x14ac:dyDescent="0.2">
      <c r="A57" s="125" t="s">
        <v>164</v>
      </c>
      <c r="C57" s="135" t="s">
        <v>259</v>
      </c>
      <c r="D57" s="164" t="s">
        <v>363</v>
      </c>
    </row>
    <row r="58" spans="1:4" ht="25.5" x14ac:dyDescent="0.2">
      <c r="A58" s="125" t="s">
        <v>165</v>
      </c>
      <c r="C58" s="135" t="s">
        <v>259</v>
      </c>
      <c r="D58" s="164" t="s">
        <v>262</v>
      </c>
    </row>
    <row r="59" spans="1:4" ht="33" customHeight="1" x14ac:dyDescent="0.2">
      <c r="A59" s="125" t="s">
        <v>166</v>
      </c>
      <c r="C59" s="135" t="s">
        <v>259</v>
      </c>
      <c r="D59" s="164" t="s">
        <v>262</v>
      </c>
    </row>
    <row r="60" spans="1:4" ht="33" customHeight="1" x14ac:dyDescent="0.2">
      <c r="A60" s="125" t="s">
        <v>167</v>
      </c>
      <c r="C60" s="165" t="s">
        <v>261</v>
      </c>
      <c r="D60" s="164" t="s">
        <v>363</v>
      </c>
    </row>
    <row r="61" spans="1:4" ht="25.5" x14ac:dyDescent="0.2">
      <c r="A61" s="125" t="s">
        <v>168</v>
      </c>
      <c r="C61" s="165" t="s">
        <v>261</v>
      </c>
      <c r="D61" s="164" t="s">
        <v>260</v>
      </c>
    </row>
    <row r="62" spans="1:4" ht="33" customHeight="1" thickBot="1" x14ac:dyDescent="0.25">
      <c r="A62" s="144" t="s">
        <v>169</v>
      </c>
      <c r="C62" s="165" t="s">
        <v>261</v>
      </c>
      <c r="D62" s="164" t="s">
        <v>260</v>
      </c>
    </row>
    <row r="63" spans="1:4" ht="24" customHeight="1" thickBot="1" x14ac:dyDescent="0.25">
      <c r="A63" s="139" t="s">
        <v>45</v>
      </c>
      <c r="C63" s="140"/>
      <c r="D63" s="141"/>
    </row>
    <row r="64" spans="1:4" ht="24" customHeight="1" x14ac:dyDescent="0.2">
      <c r="A64" s="4" t="s">
        <v>132</v>
      </c>
      <c r="C64" s="142"/>
      <c r="D64" s="143"/>
    </row>
    <row r="65" spans="1:4" ht="24" customHeight="1" x14ac:dyDescent="0.2">
      <c r="A65" s="76" t="s">
        <v>46</v>
      </c>
      <c r="C65" s="135" t="s">
        <v>263</v>
      </c>
      <c r="D65" s="136" t="s">
        <v>436</v>
      </c>
    </row>
    <row r="66" spans="1:4" ht="24" customHeight="1" thickBot="1" x14ac:dyDescent="0.25">
      <c r="A66" s="80" t="s">
        <v>48</v>
      </c>
      <c r="C66" s="145" t="s">
        <v>264</v>
      </c>
      <c r="D66" s="136" t="s">
        <v>226</v>
      </c>
    </row>
    <row r="67" spans="1:4" ht="24" customHeight="1" thickBot="1" x14ac:dyDescent="0.25">
      <c r="A67" s="139" t="s">
        <v>50</v>
      </c>
      <c r="C67" s="140"/>
      <c r="D67" s="141"/>
    </row>
    <row r="68" spans="1:4" ht="24" customHeight="1" x14ac:dyDescent="0.2">
      <c r="A68" s="4" t="s">
        <v>51</v>
      </c>
      <c r="C68" s="142"/>
      <c r="D68" s="143"/>
    </row>
    <row r="69" spans="1:4" ht="24" customHeight="1" x14ac:dyDescent="0.2">
      <c r="A69" s="76" t="s">
        <v>52</v>
      </c>
      <c r="C69" s="137" t="s">
        <v>265</v>
      </c>
      <c r="D69" s="134"/>
    </row>
    <row r="70" spans="1:4" ht="24" customHeight="1" x14ac:dyDescent="0.2">
      <c r="A70" s="76" t="s">
        <v>53</v>
      </c>
      <c r="C70" s="135" t="s">
        <v>266</v>
      </c>
      <c r="D70" s="136" t="s">
        <v>226</v>
      </c>
    </row>
    <row r="71" spans="1:4" ht="24" customHeight="1" x14ac:dyDescent="0.2">
      <c r="A71" s="76" t="s">
        <v>54</v>
      </c>
      <c r="C71" s="133"/>
      <c r="D71" s="134"/>
    </row>
    <row r="72" spans="1:4" ht="24" customHeight="1" x14ac:dyDescent="0.2">
      <c r="A72" s="125" t="s">
        <v>55</v>
      </c>
      <c r="C72" s="135" t="s">
        <v>210</v>
      </c>
      <c r="D72" s="136" t="s">
        <v>267</v>
      </c>
    </row>
    <row r="73" spans="1:4" ht="24" customHeight="1" x14ac:dyDescent="0.2">
      <c r="A73" s="125" t="s">
        <v>56</v>
      </c>
      <c r="C73" s="133" t="s">
        <v>211</v>
      </c>
      <c r="D73" s="136" t="s">
        <v>226</v>
      </c>
    </row>
    <row r="74" spans="1:4" ht="24" customHeight="1" x14ac:dyDescent="0.2">
      <c r="A74" s="76" t="s">
        <v>58</v>
      </c>
      <c r="C74" s="133"/>
      <c r="D74" s="134"/>
    </row>
    <row r="75" spans="1:4" ht="24" customHeight="1" x14ac:dyDescent="0.2">
      <c r="A75" s="125" t="s">
        <v>59</v>
      </c>
      <c r="C75" s="135" t="s">
        <v>268</v>
      </c>
      <c r="D75" s="136" t="s">
        <v>226</v>
      </c>
    </row>
    <row r="76" spans="1:4" ht="24" customHeight="1" x14ac:dyDescent="0.2">
      <c r="A76" s="125" t="s">
        <v>60</v>
      </c>
      <c r="C76" s="135" t="s">
        <v>269</v>
      </c>
      <c r="D76" s="136" t="s">
        <v>226</v>
      </c>
    </row>
    <row r="77" spans="1:4" ht="24" customHeight="1" thickBot="1" x14ac:dyDescent="0.25">
      <c r="A77" s="144" t="s">
        <v>61</v>
      </c>
      <c r="C77" s="135" t="s">
        <v>270</v>
      </c>
      <c r="D77" s="136" t="s">
        <v>226</v>
      </c>
    </row>
    <row r="78" spans="1:4" ht="24" customHeight="1" thickBot="1" x14ac:dyDescent="0.25">
      <c r="A78" s="139" t="s">
        <v>212</v>
      </c>
      <c r="C78" s="140"/>
      <c r="D78" s="141"/>
    </row>
    <row r="79" spans="1:4" ht="24" customHeight="1" thickBot="1" x14ac:dyDescent="0.25">
      <c r="A79" s="146" t="s">
        <v>62</v>
      </c>
      <c r="C79" s="142"/>
      <c r="D79" s="143"/>
    </row>
    <row r="80" spans="1:4" ht="24" customHeight="1" thickBot="1" x14ac:dyDescent="0.25">
      <c r="A80" s="147" t="s">
        <v>141</v>
      </c>
      <c r="C80" s="148"/>
      <c r="D80" s="149"/>
    </row>
    <row r="81" spans="1:4" ht="24" customHeight="1" x14ac:dyDescent="0.2">
      <c r="A81" s="73" t="s">
        <v>63</v>
      </c>
      <c r="C81" s="135" t="s">
        <v>357</v>
      </c>
      <c r="D81" s="164" t="s">
        <v>401</v>
      </c>
    </row>
    <row r="82" spans="1:4" ht="24" customHeight="1" x14ac:dyDescent="0.2">
      <c r="A82" s="73" t="s">
        <v>65</v>
      </c>
      <c r="C82" s="135" t="s">
        <v>358</v>
      </c>
      <c r="D82" s="164" t="s">
        <v>400</v>
      </c>
    </row>
    <row r="83" spans="1:4" x14ac:dyDescent="0.2">
      <c r="A83" s="76" t="s">
        <v>67</v>
      </c>
      <c r="C83" s="135"/>
      <c r="D83" s="164"/>
    </row>
    <row r="84" spans="1:4" ht="51" x14ac:dyDescent="0.2">
      <c r="A84" s="124" t="s">
        <v>171</v>
      </c>
      <c r="C84" s="165" t="s">
        <v>364</v>
      </c>
      <c r="D84" s="164" t="s">
        <v>395</v>
      </c>
    </row>
    <row r="85" spans="1:4" ht="25.5" x14ac:dyDescent="0.2">
      <c r="A85" s="124" t="s">
        <v>172</v>
      </c>
      <c r="C85" s="165" t="s">
        <v>364</v>
      </c>
      <c r="D85" s="164" t="s">
        <v>365</v>
      </c>
    </row>
    <row r="86" spans="1:4" ht="24" customHeight="1" x14ac:dyDescent="0.2">
      <c r="A86" s="76" t="s">
        <v>69</v>
      </c>
      <c r="C86" s="169"/>
      <c r="D86" s="150"/>
    </row>
    <row r="87" spans="1:4" ht="24" customHeight="1" x14ac:dyDescent="0.2">
      <c r="A87" s="125" t="s">
        <v>70</v>
      </c>
      <c r="C87" s="169"/>
      <c r="D87" s="164" t="s">
        <v>366</v>
      </c>
    </row>
    <row r="88" spans="1:4" ht="38.25" customHeight="1" x14ac:dyDescent="0.2">
      <c r="A88" s="125" t="s">
        <v>71</v>
      </c>
      <c r="C88" s="165" t="s">
        <v>367</v>
      </c>
      <c r="D88" s="164" t="s">
        <v>368</v>
      </c>
    </row>
    <row r="89" spans="1:4" ht="24" customHeight="1" x14ac:dyDescent="0.2">
      <c r="A89" s="73" t="s">
        <v>72</v>
      </c>
      <c r="C89" s="169"/>
      <c r="D89" s="150"/>
    </row>
    <row r="90" spans="1:4" ht="24" customHeight="1" x14ac:dyDescent="0.2">
      <c r="A90" s="125" t="s">
        <v>73</v>
      </c>
      <c r="C90" s="135" t="s">
        <v>286</v>
      </c>
      <c r="D90" s="136" t="s">
        <v>356</v>
      </c>
    </row>
    <row r="91" spans="1:4" ht="24" customHeight="1" x14ac:dyDescent="0.2">
      <c r="A91" s="125" t="s">
        <v>74</v>
      </c>
      <c r="C91" s="165" t="s">
        <v>369</v>
      </c>
      <c r="D91" s="164" t="s">
        <v>370</v>
      </c>
    </row>
    <row r="92" spans="1:4" ht="42" customHeight="1" x14ac:dyDescent="0.2">
      <c r="A92" s="125" t="s">
        <v>75</v>
      </c>
      <c r="C92" s="165" t="s">
        <v>371</v>
      </c>
      <c r="D92" s="164" t="s">
        <v>372</v>
      </c>
    </row>
    <row r="93" spans="1:4" ht="24" customHeight="1" x14ac:dyDescent="0.2">
      <c r="A93" s="125" t="s">
        <v>76</v>
      </c>
      <c r="C93" s="165" t="s">
        <v>373</v>
      </c>
      <c r="D93" s="164" t="s">
        <v>374</v>
      </c>
    </row>
    <row r="94" spans="1:4" ht="24" customHeight="1" x14ac:dyDescent="0.2">
      <c r="A94" s="125" t="s">
        <v>77</v>
      </c>
      <c r="C94" s="165" t="s">
        <v>375</v>
      </c>
      <c r="D94" s="164" t="s">
        <v>376</v>
      </c>
    </row>
    <row r="95" spans="1:4" ht="24" customHeight="1" x14ac:dyDescent="0.2">
      <c r="A95" s="125" t="s">
        <v>78</v>
      </c>
      <c r="C95" s="133" t="s">
        <v>294</v>
      </c>
      <c r="D95" s="136" t="s">
        <v>295</v>
      </c>
    </row>
    <row r="96" spans="1:4" ht="24" customHeight="1" x14ac:dyDescent="0.2">
      <c r="A96" s="125" t="s">
        <v>79</v>
      </c>
      <c r="C96" s="133" t="s">
        <v>296</v>
      </c>
      <c r="D96" s="136" t="s">
        <v>295</v>
      </c>
    </row>
    <row r="97" spans="1:5" ht="24" customHeight="1" x14ac:dyDescent="0.2">
      <c r="A97" s="125" t="s">
        <v>256</v>
      </c>
      <c r="C97" s="135" t="s">
        <v>297</v>
      </c>
      <c r="D97" s="134" t="s">
        <v>393</v>
      </c>
    </row>
    <row r="98" spans="1:5" ht="24" customHeight="1" x14ac:dyDescent="0.2">
      <c r="A98" s="73" t="s">
        <v>133</v>
      </c>
      <c r="C98" s="169"/>
      <c r="D98" s="150"/>
    </row>
    <row r="99" spans="1:5" ht="25.5" x14ac:dyDescent="0.2">
      <c r="A99" s="125" t="s">
        <v>80</v>
      </c>
      <c r="C99" s="133" t="s">
        <v>299</v>
      </c>
      <c r="D99" s="164" t="s">
        <v>377</v>
      </c>
    </row>
    <row r="100" spans="1:5" ht="24" customHeight="1" x14ac:dyDescent="0.2">
      <c r="A100" s="124" t="s">
        <v>337</v>
      </c>
      <c r="C100" s="166"/>
      <c r="D100" s="164"/>
    </row>
    <row r="101" spans="1:5" ht="38.25" customHeight="1" x14ac:dyDescent="0.2">
      <c r="A101" s="75" t="s">
        <v>81</v>
      </c>
      <c r="C101" s="133" t="s">
        <v>442</v>
      </c>
      <c r="D101" s="164" t="s">
        <v>443</v>
      </c>
      <c r="E101" s="360"/>
    </row>
    <row r="102" spans="1:5" ht="42" customHeight="1" x14ac:dyDescent="0.2">
      <c r="A102" s="79" t="s">
        <v>213</v>
      </c>
      <c r="C102" s="165" t="s">
        <v>300</v>
      </c>
      <c r="D102" s="164" t="s">
        <v>378</v>
      </c>
    </row>
    <row r="103" spans="1:5" ht="24" customHeight="1" x14ac:dyDescent="0.2">
      <c r="A103" s="76" t="s">
        <v>82</v>
      </c>
      <c r="C103" s="133"/>
      <c r="D103" s="150"/>
    </row>
    <row r="104" spans="1:5" ht="51" x14ac:dyDescent="0.2">
      <c r="A104" s="124" t="s">
        <v>83</v>
      </c>
      <c r="C104" s="135" t="s">
        <v>302</v>
      </c>
      <c r="D104" s="164" t="s">
        <v>449</v>
      </c>
    </row>
    <row r="105" spans="1:5" ht="24" customHeight="1" thickBot="1" x14ac:dyDescent="0.25">
      <c r="A105" s="80" t="s">
        <v>134</v>
      </c>
      <c r="C105" s="167" t="s">
        <v>304</v>
      </c>
      <c r="D105" s="170" t="s">
        <v>394</v>
      </c>
    </row>
    <row r="106" spans="1:5" ht="24" customHeight="1" thickBot="1" x14ac:dyDescent="0.25">
      <c r="A106" s="139" t="s">
        <v>86</v>
      </c>
      <c r="C106" s="140"/>
      <c r="D106" s="141"/>
    </row>
    <row r="107" spans="1:5" ht="24" customHeight="1" thickBot="1" x14ac:dyDescent="0.25">
      <c r="A107" s="152" t="s">
        <v>214</v>
      </c>
      <c r="C107" s="148"/>
      <c r="D107" s="149"/>
    </row>
    <row r="108" spans="1:5" ht="24" customHeight="1" x14ac:dyDescent="0.2">
      <c r="A108" s="76" t="s">
        <v>88</v>
      </c>
      <c r="C108" s="135" t="s">
        <v>271</v>
      </c>
      <c r="D108" s="164" t="s">
        <v>402</v>
      </c>
    </row>
    <row r="109" spans="1:5" ht="38.25" x14ac:dyDescent="0.2">
      <c r="A109" s="73" t="s">
        <v>89</v>
      </c>
      <c r="C109" s="133" t="s">
        <v>272</v>
      </c>
      <c r="D109" s="164" t="s">
        <v>403</v>
      </c>
    </row>
    <row r="110" spans="1:5" ht="24" customHeight="1" x14ac:dyDescent="0.2">
      <c r="A110" s="73" t="s">
        <v>90</v>
      </c>
      <c r="C110" s="133"/>
      <c r="D110" s="150"/>
    </row>
    <row r="111" spans="1:5" ht="51" x14ac:dyDescent="0.2">
      <c r="A111" s="125" t="s">
        <v>171</v>
      </c>
      <c r="C111" s="133"/>
      <c r="D111" s="164" t="s">
        <v>395</v>
      </c>
    </row>
    <row r="112" spans="1:5" ht="38.25" x14ac:dyDescent="0.2">
      <c r="A112" s="125" t="s">
        <v>172</v>
      </c>
      <c r="C112" s="135" t="s">
        <v>327</v>
      </c>
      <c r="D112" s="150" t="s">
        <v>273</v>
      </c>
    </row>
    <row r="113" spans="1:4" ht="24" customHeight="1" x14ac:dyDescent="0.2">
      <c r="A113" s="73" t="s">
        <v>91</v>
      </c>
      <c r="C113" s="133"/>
      <c r="D113" s="134"/>
    </row>
    <row r="114" spans="1:4" ht="24" customHeight="1" x14ac:dyDescent="0.2">
      <c r="A114" s="125" t="s">
        <v>174</v>
      </c>
      <c r="C114" s="133"/>
      <c r="D114" s="164" t="s">
        <v>366</v>
      </c>
    </row>
    <row r="115" spans="1:4" ht="38.25" x14ac:dyDescent="0.2">
      <c r="A115" s="125" t="s">
        <v>71</v>
      </c>
      <c r="C115" s="133" t="s">
        <v>275</v>
      </c>
      <c r="D115" s="150" t="s">
        <v>274</v>
      </c>
    </row>
    <row r="116" spans="1:4" ht="24" customHeight="1" x14ac:dyDescent="0.2">
      <c r="A116" s="76" t="s">
        <v>72</v>
      </c>
      <c r="C116" s="133"/>
      <c r="D116" s="134"/>
    </row>
    <row r="117" spans="1:4" ht="24" customHeight="1" x14ac:dyDescent="0.2">
      <c r="A117" s="124" t="s">
        <v>92</v>
      </c>
      <c r="C117" s="135" t="s">
        <v>286</v>
      </c>
      <c r="D117" s="136" t="s">
        <v>359</v>
      </c>
    </row>
    <row r="118" spans="1:4" ht="38.25" x14ac:dyDescent="0.2">
      <c r="A118" s="124" t="s">
        <v>93</v>
      </c>
      <c r="C118" s="165" t="s">
        <v>287</v>
      </c>
      <c r="D118" s="164" t="s">
        <v>360</v>
      </c>
    </row>
    <row r="119" spans="1:4" ht="25.5" x14ac:dyDescent="0.2">
      <c r="A119" s="124" t="s">
        <v>94</v>
      </c>
      <c r="C119" s="135" t="s">
        <v>290</v>
      </c>
      <c r="D119" s="136" t="s">
        <v>288</v>
      </c>
    </row>
    <row r="120" spans="1:4" ht="24" customHeight="1" x14ac:dyDescent="0.2">
      <c r="A120" s="124" t="s">
        <v>95</v>
      </c>
      <c r="C120" s="135" t="s">
        <v>289</v>
      </c>
      <c r="D120" s="136" t="s">
        <v>291</v>
      </c>
    </row>
    <row r="121" spans="1:4" ht="24" customHeight="1" x14ac:dyDescent="0.2">
      <c r="A121" s="124" t="s">
        <v>96</v>
      </c>
      <c r="C121" s="135" t="s">
        <v>292</v>
      </c>
      <c r="D121" s="136" t="s">
        <v>293</v>
      </c>
    </row>
    <row r="122" spans="1:4" ht="24" customHeight="1" x14ac:dyDescent="0.2">
      <c r="A122" s="124" t="s">
        <v>78</v>
      </c>
      <c r="C122" s="133" t="s">
        <v>294</v>
      </c>
      <c r="D122" s="136" t="s">
        <v>295</v>
      </c>
    </row>
    <row r="123" spans="1:4" ht="24" customHeight="1" x14ac:dyDescent="0.2">
      <c r="A123" s="124" t="s">
        <v>79</v>
      </c>
      <c r="C123" s="133" t="s">
        <v>296</v>
      </c>
      <c r="D123" s="136" t="s">
        <v>295</v>
      </c>
    </row>
    <row r="124" spans="1:4" ht="24" customHeight="1" x14ac:dyDescent="0.2">
      <c r="A124" s="125" t="s">
        <v>257</v>
      </c>
      <c r="C124" s="135" t="s">
        <v>297</v>
      </c>
      <c r="D124" s="134" t="s">
        <v>298</v>
      </c>
    </row>
    <row r="125" spans="1:4" ht="24" customHeight="1" x14ac:dyDescent="0.2">
      <c r="A125" s="76" t="s">
        <v>133</v>
      </c>
      <c r="C125" s="133"/>
      <c r="D125" s="134"/>
    </row>
    <row r="126" spans="1:4" ht="51" x14ac:dyDescent="0.2">
      <c r="A126" s="124" t="s">
        <v>80</v>
      </c>
      <c r="C126" s="133" t="s">
        <v>299</v>
      </c>
      <c r="D126" s="150" t="s">
        <v>396</v>
      </c>
    </row>
    <row r="127" spans="1:4" ht="24" customHeight="1" x14ac:dyDescent="0.2">
      <c r="A127" s="124" t="s">
        <v>337</v>
      </c>
      <c r="C127" s="166"/>
      <c r="D127" s="134"/>
    </row>
    <row r="128" spans="1:4" ht="24" customHeight="1" x14ac:dyDescent="0.2">
      <c r="A128" s="79" t="s">
        <v>81</v>
      </c>
      <c r="C128" s="133" t="s">
        <v>442</v>
      </c>
      <c r="D128" s="150" t="s">
        <v>444</v>
      </c>
    </row>
    <row r="129" spans="1:4" ht="24" customHeight="1" x14ac:dyDescent="0.2">
      <c r="A129" s="79" t="s">
        <v>213</v>
      </c>
      <c r="C129" s="165" t="s">
        <v>300</v>
      </c>
      <c r="D129" s="134" t="s">
        <v>301</v>
      </c>
    </row>
    <row r="130" spans="1:4" ht="24" customHeight="1" x14ac:dyDescent="0.2">
      <c r="A130" s="76" t="s">
        <v>82</v>
      </c>
      <c r="C130" s="133"/>
      <c r="D130" s="134"/>
    </row>
    <row r="131" spans="1:4" ht="38.25" x14ac:dyDescent="0.2">
      <c r="A131" s="124" t="s">
        <v>97</v>
      </c>
      <c r="C131" s="135" t="s">
        <v>302</v>
      </c>
      <c r="D131" s="150" t="s">
        <v>450</v>
      </c>
    </row>
    <row r="132" spans="1:4" ht="24" customHeight="1" thickBot="1" x14ac:dyDescent="0.25">
      <c r="A132" s="80" t="s">
        <v>134</v>
      </c>
      <c r="C132" s="167" t="s">
        <v>304</v>
      </c>
      <c r="D132" s="151" t="s">
        <v>303</v>
      </c>
    </row>
    <row r="133" spans="1:4" ht="24" customHeight="1" thickBot="1" x14ac:dyDescent="0.25">
      <c r="A133" s="139" t="s">
        <v>98</v>
      </c>
      <c r="C133" s="140"/>
      <c r="D133" s="141"/>
    </row>
    <row r="134" spans="1:4" ht="24" customHeight="1" thickBot="1" x14ac:dyDescent="0.25">
      <c r="A134" s="152" t="s">
        <v>99</v>
      </c>
      <c r="C134" s="148"/>
      <c r="D134" s="149"/>
    </row>
    <row r="135" spans="1:4" ht="24" customHeight="1" x14ac:dyDescent="0.2">
      <c r="A135" s="76" t="s">
        <v>100</v>
      </c>
      <c r="C135" s="135" t="s">
        <v>361</v>
      </c>
      <c r="D135" s="164" t="s">
        <v>405</v>
      </c>
    </row>
    <row r="136" spans="1:4" ht="24" customHeight="1" x14ac:dyDescent="0.2">
      <c r="A136" s="73" t="s">
        <v>101</v>
      </c>
      <c r="C136" s="135" t="s">
        <v>362</v>
      </c>
      <c r="D136" s="164" t="s">
        <v>404</v>
      </c>
    </row>
    <row r="137" spans="1:4" ht="24" customHeight="1" x14ac:dyDescent="0.2">
      <c r="A137" s="73" t="s">
        <v>102</v>
      </c>
      <c r="C137" s="169"/>
      <c r="D137" s="150"/>
    </row>
    <row r="138" spans="1:4" ht="53.25" customHeight="1" x14ac:dyDescent="0.2">
      <c r="A138" s="125" t="s">
        <v>171</v>
      </c>
      <c r="C138" s="169" t="s">
        <v>379</v>
      </c>
      <c r="D138" s="164" t="s">
        <v>395</v>
      </c>
    </row>
    <row r="139" spans="1:4" ht="24" customHeight="1" x14ac:dyDescent="0.2">
      <c r="A139" s="125" t="s">
        <v>172</v>
      </c>
      <c r="C139" s="169" t="s">
        <v>379</v>
      </c>
      <c r="D139" s="164" t="s">
        <v>380</v>
      </c>
    </row>
    <row r="140" spans="1:4" ht="24" customHeight="1" x14ac:dyDescent="0.2">
      <c r="A140" s="73" t="s">
        <v>103</v>
      </c>
      <c r="C140" s="169"/>
      <c r="D140" s="150"/>
    </row>
    <row r="141" spans="1:4" ht="24" customHeight="1" x14ac:dyDescent="0.2">
      <c r="A141" s="125" t="s">
        <v>174</v>
      </c>
      <c r="C141" s="169"/>
      <c r="D141" s="164" t="s">
        <v>381</v>
      </c>
    </row>
    <row r="142" spans="1:4" ht="24" customHeight="1" x14ac:dyDescent="0.2">
      <c r="A142" s="125" t="s">
        <v>71</v>
      </c>
      <c r="C142" s="165" t="s">
        <v>382</v>
      </c>
      <c r="D142" s="164" t="s">
        <v>383</v>
      </c>
    </row>
    <row r="143" spans="1:4" ht="24" customHeight="1" x14ac:dyDescent="0.2">
      <c r="A143" s="76" t="s">
        <v>72</v>
      </c>
      <c r="C143" s="169"/>
      <c r="D143" s="150"/>
    </row>
    <row r="144" spans="1:4" ht="24" customHeight="1" x14ac:dyDescent="0.2">
      <c r="A144" s="124" t="s">
        <v>104</v>
      </c>
      <c r="C144" s="135" t="s">
        <v>286</v>
      </c>
      <c r="D144" s="136" t="s">
        <v>359</v>
      </c>
    </row>
    <row r="145" spans="1:4" ht="24" customHeight="1" x14ac:dyDescent="0.2">
      <c r="A145" s="124" t="s">
        <v>105</v>
      </c>
      <c r="C145" s="165" t="s">
        <v>384</v>
      </c>
      <c r="D145" s="164" t="s">
        <v>383</v>
      </c>
    </row>
    <row r="146" spans="1:4" ht="38.25" x14ac:dyDescent="0.2">
      <c r="A146" s="124" t="s">
        <v>106</v>
      </c>
      <c r="C146" s="165" t="s">
        <v>385</v>
      </c>
      <c r="D146" s="164" t="s">
        <v>386</v>
      </c>
    </row>
    <row r="147" spans="1:4" ht="24" customHeight="1" x14ac:dyDescent="0.2">
      <c r="A147" s="124" t="s">
        <v>107</v>
      </c>
      <c r="C147" s="165" t="s">
        <v>387</v>
      </c>
      <c r="D147" s="164" t="s">
        <v>388</v>
      </c>
    </row>
    <row r="148" spans="1:4" ht="24" customHeight="1" x14ac:dyDescent="0.2">
      <c r="A148" s="124" t="s">
        <v>108</v>
      </c>
      <c r="C148" s="165" t="s">
        <v>389</v>
      </c>
      <c r="D148" s="164" t="s">
        <v>390</v>
      </c>
    </row>
    <row r="149" spans="1:4" ht="24" customHeight="1" x14ac:dyDescent="0.2">
      <c r="A149" s="124" t="s">
        <v>78</v>
      </c>
      <c r="C149" s="133" t="s">
        <v>294</v>
      </c>
      <c r="D149" s="136" t="s">
        <v>295</v>
      </c>
    </row>
    <row r="150" spans="1:4" ht="24" customHeight="1" x14ac:dyDescent="0.2">
      <c r="A150" s="124" t="s">
        <v>79</v>
      </c>
      <c r="C150" s="133" t="s">
        <v>296</v>
      </c>
      <c r="D150" s="136" t="s">
        <v>295</v>
      </c>
    </row>
    <row r="151" spans="1:4" ht="24" customHeight="1" x14ac:dyDescent="0.2">
      <c r="A151" s="125" t="s">
        <v>258</v>
      </c>
      <c r="C151" s="135" t="s">
        <v>297</v>
      </c>
      <c r="D151" s="134" t="s">
        <v>393</v>
      </c>
    </row>
    <row r="152" spans="1:4" ht="24" customHeight="1" x14ac:dyDescent="0.2">
      <c r="A152" s="76" t="s">
        <v>133</v>
      </c>
      <c r="C152" s="169"/>
      <c r="D152" s="150"/>
    </row>
    <row r="153" spans="1:4" ht="24" customHeight="1" x14ac:dyDescent="0.2">
      <c r="A153" s="125" t="s">
        <v>80</v>
      </c>
      <c r="C153" s="133" t="s">
        <v>299</v>
      </c>
      <c r="D153" s="164" t="s">
        <v>377</v>
      </c>
    </row>
    <row r="154" spans="1:4" ht="24" customHeight="1" x14ac:dyDescent="0.2">
      <c r="A154" s="124" t="s">
        <v>337</v>
      </c>
      <c r="C154" s="166"/>
      <c r="D154" s="150"/>
    </row>
    <row r="155" spans="1:4" ht="25.5" x14ac:dyDescent="0.2">
      <c r="A155" s="75" t="s">
        <v>81</v>
      </c>
      <c r="C155" s="133" t="s">
        <v>442</v>
      </c>
      <c r="D155" s="164" t="s">
        <v>445</v>
      </c>
    </row>
    <row r="156" spans="1:4" ht="24" customHeight="1" x14ac:dyDescent="0.2">
      <c r="A156" s="75" t="s">
        <v>213</v>
      </c>
      <c r="C156" s="165" t="s">
        <v>300</v>
      </c>
      <c r="D156" s="164" t="s">
        <v>391</v>
      </c>
    </row>
    <row r="157" spans="1:4" ht="24" customHeight="1" x14ac:dyDescent="0.2">
      <c r="A157" s="76" t="s">
        <v>82</v>
      </c>
      <c r="C157" s="133"/>
      <c r="D157" s="150"/>
    </row>
    <row r="158" spans="1:4" ht="51" x14ac:dyDescent="0.2">
      <c r="A158" s="125" t="s">
        <v>109</v>
      </c>
      <c r="C158" s="135" t="s">
        <v>302</v>
      </c>
      <c r="D158" s="164" t="s">
        <v>451</v>
      </c>
    </row>
    <row r="159" spans="1:4" ht="24" customHeight="1" thickBot="1" x14ac:dyDescent="0.25">
      <c r="A159" s="80" t="s">
        <v>134</v>
      </c>
      <c r="C159" s="167" t="s">
        <v>304</v>
      </c>
      <c r="D159" s="170" t="s">
        <v>394</v>
      </c>
    </row>
    <row r="160" spans="1:4" ht="24" customHeight="1" thickBot="1" x14ac:dyDescent="0.25">
      <c r="A160" s="139" t="s">
        <v>110</v>
      </c>
      <c r="C160" s="140"/>
      <c r="D160" s="141"/>
    </row>
    <row r="161" spans="1:4" ht="24" customHeight="1" thickBot="1" x14ac:dyDescent="0.25">
      <c r="A161" s="152" t="s">
        <v>348</v>
      </c>
      <c r="C161" s="148"/>
      <c r="D161" s="149"/>
    </row>
    <row r="162" spans="1:4" ht="24" customHeight="1" x14ac:dyDescent="0.2">
      <c r="A162" s="73" t="s">
        <v>170</v>
      </c>
      <c r="C162" s="142"/>
      <c r="D162" s="143"/>
    </row>
    <row r="163" spans="1:4" ht="24" customHeight="1" x14ac:dyDescent="0.2">
      <c r="A163" s="125" t="s">
        <v>171</v>
      </c>
      <c r="C163" s="133" t="s">
        <v>305</v>
      </c>
      <c r="D163" s="134"/>
    </row>
    <row r="164" spans="1:4" ht="51" x14ac:dyDescent="0.2">
      <c r="A164" s="125" t="s">
        <v>172</v>
      </c>
      <c r="C164" s="135" t="s">
        <v>306</v>
      </c>
      <c r="D164" s="150" t="s">
        <v>307</v>
      </c>
    </row>
    <row r="165" spans="1:4" ht="24" customHeight="1" x14ac:dyDescent="0.2">
      <c r="A165" s="73" t="s">
        <v>173</v>
      </c>
      <c r="C165" s="133"/>
      <c r="D165" s="134"/>
    </row>
    <row r="166" spans="1:4" ht="26.25" customHeight="1" x14ac:dyDescent="0.2">
      <c r="A166" s="125" t="s">
        <v>174</v>
      </c>
      <c r="C166" s="133" t="s">
        <v>305</v>
      </c>
      <c r="D166" s="134"/>
    </row>
    <row r="167" spans="1:4" ht="61.5" customHeight="1" x14ac:dyDescent="0.2">
      <c r="A167" s="125" t="s">
        <v>215</v>
      </c>
      <c r="C167" s="135" t="s">
        <v>308</v>
      </c>
      <c r="D167" s="150" t="s">
        <v>309</v>
      </c>
    </row>
    <row r="168" spans="1:4" ht="24" customHeight="1" x14ac:dyDescent="0.2">
      <c r="A168" s="76" t="s">
        <v>72</v>
      </c>
      <c r="C168" s="133"/>
      <c r="D168" s="134"/>
    </row>
    <row r="169" spans="1:4" ht="38.25" x14ac:dyDescent="0.2">
      <c r="A169" s="124" t="s">
        <v>175</v>
      </c>
      <c r="C169" s="165" t="s">
        <v>310</v>
      </c>
      <c r="D169" s="150" t="s">
        <v>311</v>
      </c>
    </row>
    <row r="170" spans="1:4" ht="38.25" x14ac:dyDescent="0.2">
      <c r="A170" s="74" t="s">
        <v>176</v>
      </c>
      <c r="C170" s="135" t="s">
        <v>350</v>
      </c>
      <c r="D170" s="136" t="s">
        <v>351</v>
      </c>
    </row>
    <row r="171" spans="1:4" ht="24" customHeight="1" x14ac:dyDescent="0.2">
      <c r="A171" s="124" t="s">
        <v>177</v>
      </c>
      <c r="C171" s="135" t="s">
        <v>349</v>
      </c>
      <c r="D171" s="136" t="s">
        <v>312</v>
      </c>
    </row>
    <row r="172" spans="1:4" ht="24" customHeight="1" x14ac:dyDescent="0.2">
      <c r="A172" s="124" t="s">
        <v>78</v>
      </c>
      <c r="C172" s="133" t="s">
        <v>294</v>
      </c>
      <c r="D172" s="136" t="s">
        <v>295</v>
      </c>
    </row>
    <row r="173" spans="1:4" ht="24" customHeight="1" thickBot="1" x14ac:dyDescent="0.25">
      <c r="A173" s="153" t="s">
        <v>79</v>
      </c>
      <c r="C173" s="133" t="s">
        <v>296</v>
      </c>
      <c r="D173" s="136" t="s">
        <v>295</v>
      </c>
    </row>
    <row r="174" spans="1:4" ht="24" customHeight="1" thickBot="1" x14ac:dyDescent="0.25">
      <c r="A174" s="139" t="s">
        <v>216</v>
      </c>
      <c r="C174" s="140"/>
      <c r="D174" s="141"/>
    </row>
    <row r="175" spans="1:4" ht="24" customHeight="1" x14ac:dyDescent="0.2">
      <c r="A175" s="4" t="s">
        <v>135</v>
      </c>
      <c r="C175" s="142"/>
      <c r="D175" s="143"/>
    </row>
    <row r="176" spans="1:4" ht="24" customHeight="1" x14ac:dyDescent="0.2">
      <c r="A176" s="73" t="s">
        <v>178</v>
      </c>
      <c r="C176" s="133" t="s">
        <v>313</v>
      </c>
      <c r="D176" s="134" t="s">
        <v>217</v>
      </c>
    </row>
    <row r="177" spans="1:4" ht="24" customHeight="1" x14ac:dyDescent="0.2">
      <c r="A177" s="73" t="s">
        <v>179</v>
      </c>
      <c r="C177" s="133" t="s">
        <v>314</v>
      </c>
      <c r="D177" s="134" t="s">
        <v>217</v>
      </c>
    </row>
    <row r="178" spans="1:4" ht="24" customHeight="1" x14ac:dyDescent="0.2">
      <c r="A178" s="73" t="s">
        <v>180</v>
      </c>
      <c r="C178" s="133" t="s">
        <v>315</v>
      </c>
      <c r="D178" s="134" t="s">
        <v>217</v>
      </c>
    </row>
    <row r="179" spans="1:4" ht="38.25" x14ac:dyDescent="0.2">
      <c r="A179" s="73" t="s">
        <v>181</v>
      </c>
      <c r="C179" s="133" t="s">
        <v>316</v>
      </c>
      <c r="D179" s="134" t="s">
        <v>319</v>
      </c>
    </row>
    <row r="180" spans="1:4" ht="38.25" x14ac:dyDescent="0.2">
      <c r="A180" s="73" t="s">
        <v>182</v>
      </c>
      <c r="C180" s="133" t="s">
        <v>317</v>
      </c>
      <c r="D180" s="134" t="s">
        <v>319</v>
      </c>
    </row>
    <row r="181" spans="1:4" ht="38.25" x14ac:dyDescent="0.2">
      <c r="A181" s="73" t="s">
        <v>183</v>
      </c>
      <c r="C181" s="133" t="s">
        <v>318</v>
      </c>
      <c r="D181" s="134" t="s">
        <v>319</v>
      </c>
    </row>
    <row r="182" spans="1:4" ht="24" customHeight="1" x14ac:dyDescent="0.2">
      <c r="A182" s="73" t="s">
        <v>112</v>
      </c>
      <c r="C182" s="133" t="s">
        <v>320</v>
      </c>
      <c r="D182" s="134" t="s">
        <v>218</v>
      </c>
    </row>
    <row r="183" spans="1:4" ht="24" customHeight="1" x14ac:dyDescent="0.2">
      <c r="A183" s="76" t="s">
        <v>114</v>
      </c>
      <c r="C183" s="133"/>
      <c r="D183" s="134"/>
    </row>
    <row r="184" spans="1:4" ht="24" customHeight="1" x14ac:dyDescent="0.2">
      <c r="A184" s="125" t="s">
        <v>115</v>
      </c>
      <c r="C184" s="133" t="s">
        <v>321</v>
      </c>
      <c r="D184" s="134" t="s">
        <v>322</v>
      </c>
    </row>
    <row r="185" spans="1:4" ht="24" customHeight="1" x14ac:dyDescent="0.2">
      <c r="A185" s="76" t="s">
        <v>136</v>
      </c>
      <c r="C185" s="133"/>
      <c r="D185" s="134"/>
    </row>
    <row r="186" spans="1:4" ht="24" customHeight="1" x14ac:dyDescent="0.2">
      <c r="A186" s="125" t="s">
        <v>117</v>
      </c>
      <c r="C186" s="133" t="s">
        <v>323</v>
      </c>
      <c r="D186" s="136" t="s">
        <v>352</v>
      </c>
    </row>
    <row r="187" spans="1:4" ht="24" customHeight="1" x14ac:dyDescent="0.2">
      <c r="A187" s="125" t="s">
        <v>119</v>
      </c>
      <c r="C187" s="133" t="s">
        <v>324</v>
      </c>
      <c r="D187" s="134" t="s">
        <v>325</v>
      </c>
    </row>
    <row r="188" spans="1:4" ht="24" customHeight="1" x14ac:dyDescent="0.2">
      <c r="A188" s="73" t="s">
        <v>121</v>
      </c>
      <c r="C188" s="135"/>
      <c r="D188" s="134"/>
    </row>
    <row r="189" spans="1:4" ht="24" customHeight="1" x14ac:dyDescent="0.2">
      <c r="A189" s="76" t="s">
        <v>184</v>
      </c>
      <c r="C189" s="133"/>
      <c r="D189" s="134"/>
    </row>
    <row r="190" spans="1:4" ht="39" customHeight="1" x14ac:dyDescent="0.2">
      <c r="A190" s="74" t="s">
        <v>185</v>
      </c>
      <c r="C190" s="135" t="s">
        <v>326</v>
      </c>
      <c r="D190" s="164" t="s">
        <v>392</v>
      </c>
    </row>
    <row r="191" spans="1:4" ht="39" customHeight="1" x14ac:dyDescent="0.2">
      <c r="A191" s="125" t="s">
        <v>421</v>
      </c>
      <c r="C191" s="133" t="s">
        <v>330</v>
      </c>
      <c r="D191" s="164" t="s">
        <v>408</v>
      </c>
    </row>
    <row r="192" spans="1:4" ht="39" customHeight="1" x14ac:dyDescent="0.2">
      <c r="A192" s="125" t="s">
        <v>422</v>
      </c>
      <c r="C192" s="133" t="s">
        <v>331</v>
      </c>
      <c r="D192" s="164" t="s">
        <v>435</v>
      </c>
    </row>
    <row r="193" spans="1:6" ht="39" customHeight="1" x14ac:dyDescent="0.2">
      <c r="A193" s="125" t="s">
        <v>419</v>
      </c>
      <c r="C193" s="135" t="s">
        <v>328</v>
      </c>
      <c r="D193" s="164" t="s">
        <v>407</v>
      </c>
    </row>
    <row r="194" spans="1:6" ht="39" customHeight="1" x14ac:dyDescent="0.2">
      <c r="A194" s="125" t="s">
        <v>420</v>
      </c>
      <c r="C194" s="133" t="s">
        <v>329</v>
      </c>
      <c r="D194" s="164" t="s">
        <v>406</v>
      </c>
    </row>
    <row r="195" spans="1:6" ht="24" customHeight="1" x14ac:dyDescent="0.2">
      <c r="A195" s="76" t="s">
        <v>423</v>
      </c>
      <c r="C195" s="133"/>
      <c r="D195" s="134"/>
    </row>
    <row r="196" spans="1:6" ht="39" customHeight="1" x14ac:dyDescent="0.2">
      <c r="A196" s="125" t="s">
        <v>424</v>
      </c>
      <c r="C196" s="135" t="s">
        <v>326</v>
      </c>
      <c r="D196" s="164" t="s">
        <v>336</v>
      </c>
      <c r="F196" s="168"/>
    </row>
    <row r="197" spans="1:6" ht="39" customHeight="1" x14ac:dyDescent="0.2">
      <c r="A197" s="125" t="s">
        <v>425</v>
      </c>
      <c r="C197" s="135" t="s">
        <v>354</v>
      </c>
      <c r="D197" s="164" t="s">
        <v>409</v>
      </c>
      <c r="F197" s="168"/>
    </row>
    <row r="198" spans="1:6" ht="39" customHeight="1" x14ac:dyDescent="0.2">
      <c r="A198" s="125" t="s">
        <v>426</v>
      </c>
      <c r="C198" s="135" t="s">
        <v>353</v>
      </c>
      <c r="D198" s="164" t="s">
        <v>435</v>
      </c>
      <c r="F198" s="168"/>
    </row>
    <row r="199" spans="1:6" ht="39" customHeight="1" x14ac:dyDescent="0.2">
      <c r="A199" s="125" t="s">
        <v>427</v>
      </c>
      <c r="C199" s="135" t="s">
        <v>335</v>
      </c>
      <c r="D199" s="164" t="s">
        <v>291</v>
      </c>
      <c r="F199" s="168"/>
    </row>
    <row r="200" spans="1:6" ht="39" customHeight="1" x14ac:dyDescent="0.2">
      <c r="A200" s="125" t="s">
        <v>428</v>
      </c>
      <c r="C200" s="135" t="s">
        <v>355</v>
      </c>
      <c r="D200" s="164" t="s">
        <v>410</v>
      </c>
      <c r="F200" s="168"/>
    </row>
    <row r="201" spans="1:6" ht="24" customHeight="1" x14ac:dyDescent="0.2">
      <c r="A201" s="76" t="s">
        <v>429</v>
      </c>
      <c r="C201" s="133"/>
      <c r="D201" s="134"/>
    </row>
    <row r="202" spans="1:6" ht="39" customHeight="1" x14ac:dyDescent="0.2">
      <c r="A202" s="125" t="s">
        <v>186</v>
      </c>
      <c r="C202" s="135" t="s">
        <v>326</v>
      </c>
      <c r="D202" s="164" t="s">
        <v>291</v>
      </c>
    </row>
    <row r="203" spans="1:6" ht="39" customHeight="1" x14ac:dyDescent="0.2">
      <c r="A203" s="125" t="s">
        <v>430</v>
      </c>
      <c r="C203" s="133" t="s">
        <v>333</v>
      </c>
      <c r="D203" s="164" t="s">
        <v>411</v>
      </c>
    </row>
    <row r="204" spans="1:6" ht="39" customHeight="1" x14ac:dyDescent="0.2">
      <c r="A204" s="125" t="s">
        <v>431</v>
      </c>
      <c r="C204" s="133" t="s">
        <v>332</v>
      </c>
      <c r="D204" s="164" t="s">
        <v>434</v>
      </c>
    </row>
    <row r="205" spans="1:6" ht="39" customHeight="1" x14ac:dyDescent="0.2">
      <c r="A205" s="125" t="s">
        <v>432</v>
      </c>
      <c r="C205" s="135" t="s">
        <v>328</v>
      </c>
      <c r="D205" s="164" t="s">
        <v>336</v>
      </c>
    </row>
    <row r="206" spans="1:6" ht="39" customHeight="1" x14ac:dyDescent="0.2">
      <c r="A206" s="125" t="s">
        <v>433</v>
      </c>
      <c r="C206" s="133" t="s">
        <v>334</v>
      </c>
      <c r="D206" s="164" t="s">
        <v>412</v>
      </c>
    </row>
    <row r="207" spans="1:6" ht="36" customHeight="1" x14ac:dyDescent="0.2">
      <c r="A207" s="73" t="s">
        <v>437</v>
      </c>
      <c r="C207" s="155" t="s">
        <v>441</v>
      </c>
      <c r="D207" s="154" t="s">
        <v>446</v>
      </c>
    </row>
    <row r="208" spans="1:6" ht="36" customHeight="1" x14ac:dyDescent="0.2">
      <c r="A208" s="73" t="s">
        <v>438</v>
      </c>
      <c r="C208" s="155" t="s">
        <v>441</v>
      </c>
      <c r="D208" s="154" t="s">
        <v>447</v>
      </c>
    </row>
    <row r="209" spans="1:4" ht="36" customHeight="1" x14ac:dyDescent="0.2">
      <c r="A209" s="73" t="s">
        <v>439</v>
      </c>
      <c r="C209" s="155" t="s">
        <v>441</v>
      </c>
      <c r="D209" s="154" t="s">
        <v>448</v>
      </c>
    </row>
    <row r="210" spans="1:4" ht="24" customHeight="1" x14ac:dyDescent="0.2">
      <c r="A210" s="73" t="s">
        <v>187</v>
      </c>
      <c r="C210" s="133"/>
      <c r="D210" s="134"/>
    </row>
    <row r="211" spans="1:4" ht="24" customHeight="1" x14ac:dyDescent="0.2">
      <c r="A211" s="125" t="s">
        <v>219</v>
      </c>
      <c r="C211" s="155" t="s">
        <v>338</v>
      </c>
      <c r="D211" s="134" t="s">
        <v>342</v>
      </c>
    </row>
    <row r="212" spans="1:4" ht="24" customHeight="1" x14ac:dyDescent="0.2">
      <c r="A212" s="125" t="s">
        <v>220</v>
      </c>
      <c r="C212" s="155" t="s">
        <v>339</v>
      </c>
      <c r="D212" s="134" t="s">
        <v>343</v>
      </c>
    </row>
    <row r="213" spans="1:4" ht="24" customHeight="1" x14ac:dyDescent="0.2">
      <c r="A213" s="73" t="s">
        <v>188</v>
      </c>
      <c r="C213" s="133"/>
      <c r="D213" s="134"/>
    </row>
    <row r="214" spans="1:4" ht="24" customHeight="1" x14ac:dyDescent="0.2">
      <c r="A214" s="125" t="s">
        <v>219</v>
      </c>
      <c r="C214" s="155" t="s">
        <v>340</v>
      </c>
      <c r="D214" s="134" t="s">
        <v>342</v>
      </c>
    </row>
    <row r="215" spans="1:4" ht="24" customHeight="1" x14ac:dyDescent="0.2">
      <c r="A215" s="125" t="s">
        <v>220</v>
      </c>
      <c r="C215" s="155" t="s">
        <v>339</v>
      </c>
      <c r="D215" s="134" t="s">
        <v>343</v>
      </c>
    </row>
    <row r="216" spans="1:4" ht="24" customHeight="1" x14ac:dyDescent="0.2">
      <c r="A216" s="73" t="s">
        <v>189</v>
      </c>
      <c r="C216" s="142"/>
      <c r="D216" s="143"/>
    </row>
    <row r="217" spans="1:4" ht="24" customHeight="1" x14ac:dyDescent="0.2">
      <c r="A217" s="125" t="s">
        <v>219</v>
      </c>
      <c r="C217" s="155" t="s">
        <v>341</v>
      </c>
      <c r="D217" s="134" t="s">
        <v>342</v>
      </c>
    </row>
    <row r="218" spans="1:4" ht="24" customHeight="1" thickBot="1" x14ac:dyDescent="0.25">
      <c r="A218" s="144" t="s">
        <v>220</v>
      </c>
      <c r="C218" s="155" t="s">
        <v>339</v>
      </c>
      <c r="D218" s="134" t="s">
        <v>343</v>
      </c>
    </row>
    <row r="219" spans="1:4" ht="24" customHeight="1" thickBot="1" x14ac:dyDescent="0.25">
      <c r="A219" s="156" t="s">
        <v>221</v>
      </c>
      <c r="C219" s="140"/>
      <c r="D219" s="141"/>
    </row>
    <row r="220" spans="1:4" ht="24" customHeight="1" thickBot="1" x14ac:dyDescent="0.25">
      <c r="A220" s="157" t="s">
        <v>124</v>
      </c>
      <c r="C220" s="148"/>
      <c r="D220" s="149"/>
    </row>
    <row r="221" spans="1:4" ht="24" customHeight="1" thickBot="1" x14ac:dyDescent="0.25">
      <c r="A221" s="45" t="s">
        <v>125</v>
      </c>
      <c r="C221" s="133"/>
      <c r="D221" s="158" t="s">
        <v>222</v>
      </c>
    </row>
    <row r="222" spans="1:4" ht="24" customHeight="1" thickBot="1" x14ac:dyDescent="0.25">
      <c r="A222" s="157" t="s">
        <v>126</v>
      </c>
      <c r="C222" s="148"/>
      <c r="D222" s="149"/>
    </row>
    <row r="223" spans="1:4" ht="24" customHeight="1" thickBot="1" x14ac:dyDescent="0.25">
      <c r="A223" s="45" t="s">
        <v>127</v>
      </c>
      <c r="C223" s="133"/>
      <c r="D223" s="134"/>
    </row>
    <row r="224" spans="1:4" ht="24" customHeight="1" thickBot="1" x14ac:dyDescent="0.25">
      <c r="A224" s="157" t="s">
        <v>128</v>
      </c>
      <c r="C224" s="148"/>
      <c r="D224" s="149"/>
    </row>
    <row r="225" spans="1:4" ht="24" customHeight="1" thickBot="1" x14ac:dyDescent="0.25">
      <c r="A225" s="159" t="s">
        <v>137</v>
      </c>
      <c r="C225" s="133"/>
      <c r="D225" s="134"/>
    </row>
    <row r="226" spans="1:4" ht="24" customHeight="1" thickBot="1" x14ac:dyDescent="0.25">
      <c r="A226" s="160" t="s">
        <v>138</v>
      </c>
      <c r="C226" s="148"/>
      <c r="D226" s="149"/>
    </row>
  </sheetData>
  <mergeCells count="2">
    <mergeCell ref="A1:A2"/>
    <mergeCell ref="C1:D1"/>
  </mergeCells>
  <pageMargins left="0.25" right="0.25" top="0.75" bottom="0.75" header="0.3" footer="0.3"/>
  <pageSetup paperSize="8"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addenda or use of contingencies</vt:lpstr>
      <vt:lpstr>Justification</vt:lpstr>
      <vt:lpstr>'addenda or use of contingencies'!Zone_d_impression</vt:lpstr>
    </vt:vector>
  </TitlesOfParts>
  <Company>Ernst &amp; Young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Chimenti</dc:creator>
  <cp:lastModifiedBy>Jean-Victor Gruat</cp:lastModifiedBy>
  <cp:lastPrinted>2016-07-01T01:48:35Z</cp:lastPrinted>
  <dcterms:created xsi:type="dcterms:W3CDTF">2014-12-16T11:33:24Z</dcterms:created>
  <dcterms:modified xsi:type="dcterms:W3CDTF">2016-10-25T08:02:13Z</dcterms:modified>
</cp:coreProperties>
</file>